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90" yWindow="15" windowWidth="25485" windowHeight="11580" tabRatio="914"/>
  </bookViews>
  <sheets>
    <sheet name="산출내역서(야간맞교대)" sheetId="18" r:id="rId1"/>
    <sheet name="산출내역서(야간맞교대)(1일)" sheetId="22" r:id="rId2"/>
    <sheet name="근무형태 및 근무시간(야)" sheetId="19" r:id="rId3"/>
    <sheet name="근무표(평일야간1)" sheetId="11" state="hidden" r:id="rId4"/>
    <sheet name="산출내역서(평일야간1)" sheetId="12" state="hidden" r:id="rId5"/>
    <sheet name="근무형태 및 근무시간(평일야간2)" sheetId="7" state="hidden" r:id="rId6"/>
    <sheet name="근무표(평일야간2)" sheetId="8" state="hidden" r:id="rId7"/>
    <sheet name="산출내역서(평일야간2)" sheetId="9" state="hidden" r:id="rId8"/>
    <sheet name="근무형태 및 근무시간(평일야간4)" sheetId="5" state="hidden" r:id="rId9"/>
    <sheet name="근무표(평일야간4)" sheetId="3" state="hidden" r:id="rId10"/>
    <sheet name="산출내역서(평일야간4)" sheetId="6" state="hidden" r:id="rId11"/>
    <sheet name="근무표(시간표상)" sheetId="1" state="hidden" r:id="rId12"/>
    <sheet name="산출내역서(시간표상)" sheetId="2" state="hidden" r:id="rId13"/>
    <sheet name="직종별 조사노임단가" sheetId="23" r:id="rId14"/>
  </sheets>
  <definedNames>
    <definedName name="_xlnm.Print_Area" localSheetId="3">'근무표(평일야간1)'!$A$1:$H$17</definedName>
    <definedName name="_xlnm.Print_Area" localSheetId="6">'근무표(평일야간2)'!$A$1:$H$28</definedName>
    <definedName name="_xlnm.Print_Area" localSheetId="9">'근무표(평일야간4)'!$A$1:$H$28</definedName>
    <definedName name="_xlnm.Print_Area" localSheetId="2">'근무형태 및 근무시간(야)'!$A$1:$E$22</definedName>
    <definedName name="_xlnm.Print_Area" localSheetId="5">'근무형태 및 근무시간(평일야간2)'!$A$1:$K$41</definedName>
    <definedName name="_xlnm.Print_Area" localSheetId="8">'근무형태 및 근무시간(평일야간4)'!$A$1:$K$41</definedName>
    <definedName name="_xlnm.Print_Area" localSheetId="0">'산출내역서(야간맞교대)'!$A$1:$G$29</definedName>
    <definedName name="_xlnm.Print_Area" localSheetId="1">'산출내역서(야간맞교대)(1일)'!$A$1:$G$28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8"/>
  <c r="F7"/>
  <c r="F21" l="1"/>
  <c r="F14"/>
  <c r="F10"/>
  <c r="D22" i="12"/>
  <c r="E22" s="1"/>
  <c r="F22" s="1"/>
  <c r="E21"/>
  <c r="F21" s="1"/>
  <c r="F15"/>
  <c r="E11"/>
  <c r="F11" s="1"/>
  <c r="F7"/>
  <c r="E7"/>
  <c r="D7"/>
  <c r="I5"/>
  <c r="G15" i="11"/>
  <c r="G16" s="1"/>
  <c r="I11" i="12" s="1"/>
  <c r="G13" i="11"/>
  <c r="I8" i="12" s="1"/>
  <c r="B11" i="11"/>
  <c r="B10"/>
  <c r="B9"/>
  <c r="B8"/>
  <c r="B7"/>
  <c r="G26" i="3"/>
  <c r="G24"/>
  <c r="G24" i="8"/>
  <c r="G25" s="1"/>
  <c r="I9" i="9" s="1"/>
  <c r="D5" s="1"/>
  <c r="D6" s="1"/>
  <c r="G26" i="8"/>
  <c r="I10" i="9" s="1"/>
  <c r="E22"/>
  <c r="F22" s="1"/>
  <c r="D22"/>
  <c r="E21"/>
  <c r="F21" s="1"/>
  <c r="F15"/>
  <c r="E11"/>
  <c r="F11" s="1"/>
  <c r="D7"/>
  <c r="E7" s="1"/>
  <c r="F7" s="1"/>
  <c r="I5"/>
  <c r="F21" i="8"/>
  <c r="F22" s="1"/>
  <c r="E21"/>
  <c r="E22" s="1"/>
  <c r="D21"/>
  <c r="D22" s="1"/>
  <c r="C21"/>
  <c r="C22" s="1"/>
  <c r="B21"/>
  <c r="B22" s="1"/>
  <c r="F19"/>
  <c r="F20" s="1"/>
  <c r="E19"/>
  <c r="E20" s="1"/>
  <c r="D19"/>
  <c r="D20" s="1"/>
  <c r="C19"/>
  <c r="C20" s="1"/>
  <c r="B19"/>
  <c r="B20" s="1"/>
  <c r="F17"/>
  <c r="F18" s="1"/>
  <c r="E17"/>
  <c r="E18" s="1"/>
  <c r="D17"/>
  <c r="D18" s="1"/>
  <c r="C17"/>
  <c r="C18" s="1"/>
  <c r="B17"/>
  <c r="B18" s="1"/>
  <c r="F15"/>
  <c r="F16" s="1"/>
  <c r="E15"/>
  <c r="E16" s="1"/>
  <c r="D15"/>
  <c r="D16" s="1"/>
  <c r="C15"/>
  <c r="C16" s="1"/>
  <c r="B15"/>
  <c r="B16" s="1"/>
  <c r="B12"/>
  <c r="B11"/>
  <c r="B10"/>
  <c r="B9"/>
  <c r="B8"/>
  <c r="G20" l="1"/>
  <c r="I10" i="12"/>
  <c r="G14" i="11"/>
  <c r="I9" i="12" s="1"/>
  <c r="D5" s="1"/>
  <c r="D6" s="1"/>
  <c r="G27" i="8"/>
  <c r="I11" i="9" s="1"/>
  <c r="G22" i="8"/>
  <c r="G18"/>
  <c r="G6" i="9"/>
  <c r="E6"/>
  <c r="G16" i="8"/>
  <c r="I8" i="9"/>
  <c r="F26" i="22" l="1"/>
  <c r="F8" i="18"/>
  <c r="F9"/>
  <c r="E6" i="12"/>
  <c r="G6"/>
  <c r="D9" i="9"/>
  <c r="E9" s="1"/>
  <c r="F9" s="1"/>
  <c r="D8"/>
  <c r="D10"/>
  <c r="E10" s="1"/>
  <c r="F10" s="1"/>
  <c r="F6"/>
  <c r="F27" i="22" l="1"/>
  <c r="F28" s="1"/>
  <c r="F11" i="18"/>
  <c r="D10" i="12"/>
  <c r="E10" s="1"/>
  <c r="F10" s="1"/>
  <c r="D9"/>
  <c r="E9" s="1"/>
  <c r="F9" s="1"/>
  <c r="D8"/>
  <c r="F6"/>
  <c r="E8" i="9"/>
  <c r="D12"/>
  <c r="F19" i="18" l="1"/>
  <c r="F18"/>
  <c r="F17"/>
  <c r="E8" i="12"/>
  <c r="D12"/>
  <c r="D19" i="9"/>
  <c r="E19" s="1"/>
  <c r="F19" s="1"/>
  <c r="D13"/>
  <c r="E13" s="1"/>
  <c r="F13" s="1"/>
  <c r="D20"/>
  <c r="E20" s="1"/>
  <c r="F20" s="1"/>
  <c r="D16"/>
  <c r="D18"/>
  <c r="E18" s="1"/>
  <c r="F18" s="1"/>
  <c r="F8"/>
  <c r="E12"/>
  <c r="F12" i="18" l="1"/>
  <c r="F15"/>
  <c r="D19" i="12"/>
  <c r="E19" s="1"/>
  <c r="F19" s="1"/>
  <c r="D13"/>
  <c r="E13" s="1"/>
  <c r="F13" s="1"/>
  <c r="D20"/>
  <c r="E20" s="1"/>
  <c r="F20" s="1"/>
  <c r="D16"/>
  <c r="D18"/>
  <c r="E18" s="1"/>
  <c r="F18" s="1"/>
  <c r="F8"/>
  <c r="E12"/>
  <c r="E14" i="9"/>
  <c r="F14" s="1"/>
  <c r="F12"/>
  <c r="E16"/>
  <c r="D17"/>
  <c r="E17" s="1"/>
  <c r="F17" s="1"/>
  <c r="D14"/>
  <c r="D14" i="12" l="1"/>
  <c r="E14"/>
  <c r="F14" s="1"/>
  <c r="F12"/>
  <c r="E16"/>
  <c r="D17"/>
  <c r="E17" s="1"/>
  <c r="F17" s="1"/>
  <c r="D23" i="9"/>
  <c r="E23"/>
  <c r="F16"/>
  <c r="F23" s="1"/>
  <c r="F24" s="1"/>
  <c r="D26" i="18" l="1"/>
  <c r="F13"/>
  <c r="F16"/>
  <c r="F22" s="1"/>
  <c r="D23" i="12"/>
  <c r="E23"/>
  <c r="F16"/>
  <c r="F23" s="1"/>
  <c r="F24" s="1"/>
  <c r="F25" i="9"/>
  <c r="F26" s="1"/>
  <c r="F27" s="1"/>
  <c r="F24" i="18" l="1"/>
  <c r="F25"/>
  <c r="F23"/>
  <c r="F25" i="12"/>
  <c r="F26" s="1"/>
  <c r="G29" i="9"/>
  <c r="F28"/>
  <c r="G30" s="1"/>
  <c r="E26" i="18" l="1"/>
  <c r="F26"/>
  <c r="F27" i="12"/>
  <c r="G27" i="3"/>
  <c r="I11" i="6" s="1"/>
  <c r="G25" i="3"/>
  <c r="I9" i="6" s="1"/>
  <c r="D5" s="1"/>
  <c r="D7"/>
  <c r="E7" s="1"/>
  <c r="F7" s="1"/>
  <c r="D22"/>
  <c r="E22" s="1"/>
  <c r="F22" s="1"/>
  <c r="E21"/>
  <c r="F21" s="1"/>
  <c r="F15"/>
  <c r="E11"/>
  <c r="F11" s="1"/>
  <c r="I10"/>
  <c r="I8"/>
  <c r="I5"/>
  <c r="F27" i="18" l="1"/>
  <c r="F28" s="1"/>
  <c r="D29" s="1"/>
  <c r="F29" s="1"/>
  <c r="G29" i="12"/>
  <c r="F28"/>
  <c r="G30" s="1"/>
  <c r="D6" i="6"/>
  <c r="G6" s="1"/>
  <c r="B15" i="3"/>
  <c r="B16" s="1"/>
  <c r="F21"/>
  <c r="F22" s="1"/>
  <c r="E21"/>
  <c r="E22" s="1"/>
  <c r="D21"/>
  <c r="D22" s="1"/>
  <c r="C21"/>
  <c r="C22" s="1"/>
  <c r="B21"/>
  <c r="B22" s="1"/>
  <c r="F19"/>
  <c r="F20" s="1"/>
  <c r="E19"/>
  <c r="E20" s="1"/>
  <c r="D19"/>
  <c r="D20" s="1"/>
  <c r="C19"/>
  <c r="C20" s="1"/>
  <c r="B19"/>
  <c r="B20" s="1"/>
  <c r="F17"/>
  <c r="F18" s="1"/>
  <c r="E17"/>
  <c r="E18" s="1"/>
  <c r="D17"/>
  <c r="D18" s="1"/>
  <c r="C17"/>
  <c r="C18" s="1"/>
  <c r="B17"/>
  <c r="B18" s="1"/>
  <c r="F15"/>
  <c r="F16" s="1"/>
  <c r="E15"/>
  <c r="E16" s="1"/>
  <c r="D15"/>
  <c r="D16" s="1"/>
  <c r="C15"/>
  <c r="C16" s="1"/>
  <c r="B12"/>
  <c r="B11"/>
  <c r="B10"/>
  <c r="B9"/>
  <c r="B8"/>
  <c r="D9" i="6" l="1"/>
  <c r="E9" s="1"/>
  <c r="F9" s="1"/>
  <c r="D8"/>
  <c r="E8" s="1"/>
  <c r="F8" s="1"/>
  <c r="E6"/>
  <c r="F6" s="1"/>
  <c r="D10"/>
  <c r="E10" s="1"/>
  <c r="F10" s="1"/>
  <c r="G22" i="3"/>
  <c r="G18"/>
  <c r="G20"/>
  <c r="G16"/>
  <c r="D12" i="6" l="1"/>
  <c r="D13" s="1"/>
  <c r="E13" s="1"/>
  <c r="F13" s="1"/>
  <c r="E12"/>
  <c r="D20" l="1"/>
  <c r="E20" s="1"/>
  <c r="F20" s="1"/>
  <c r="D14"/>
  <c r="D19"/>
  <c r="E19" s="1"/>
  <c r="F19" s="1"/>
  <c r="D16"/>
  <c r="E16" s="1"/>
  <c r="E14"/>
  <c r="F14" s="1"/>
  <c r="D18"/>
  <c r="E18" s="1"/>
  <c r="F18" s="1"/>
  <c r="F12"/>
  <c r="D17"/>
  <c r="E17" s="1"/>
  <c r="F17" s="1"/>
  <c r="F16"/>
  <c r="F23" l="1"/>
  <c r="F24" s="1"/>
  <c r="F25" s="1"/>
  <c r="F26" s="1"/>
  <c r="E23"/>
  <c r="D23"/>
  <c r="F27" l="1"/>
  <c r="G29" l="1"/>
  <c r="F28"/>
  <c r="G30" s="1"/>
  <c r="D7" i="2" l="1"/>
  <c r="E26" l="1"/>
  <c r="F26" s="1"/>
  <c r="F25"/>
  <c r="E25"/>
  <c r="D25"/>
  <c r="E24"/>
  <c r="F24" s="1"/>
  <c r="F18"/>
  <c r="E14"/>
  <c r="F14" s="1"/>
  <c r="E13"/>
  <c r="F13" s="1"/>
  <c r="E12"/>
  <c r="F12" s="1"/>
  <c r="F11"/>
  <c r="E11"/>
  <c r="E9"/>
  <c r="F9" s="1"/>
  <c r="E8"/>
  <c r="F8" s="1"/>
  <c r="D8"/>
  <c r="E7"/>
  <c r="F7" s="1"/>
  <c r="D6"/>
  <c r="D10" s="1"/>
  <c r="E10" l="1"/>
  <c r="F10" s="1"/>
  <c r="E6"/>
  <c r="D15" l="1"/>
  <c r="F6"/>
  <c r="E15"/>
  <c r="D21" l="1"/>
  <c r="E21" s="1"/>
  <c r="F21" s="1"/>
  <c r="D16"/>
  <c r="E16" s="1"/>
  <c r="F16" s="1"/>
  <c r="D23"/>
  <c r="E23" s="1"/>
  <c r="F23" s="1"/>
  <c r="D19"/>
  <c r="D22"/>
  <c r="E22" s="1"/>
  <c r="F22" s="1"/>
  <c r="F15"/>
  <c r="D17" l="1"/>
  <c r="D20"/>
  <c r="E19"/>
  <c r="E17"/>
  <c r="F17" s="1"/>
  <c r="F19" l="1"/>
  <c r="E20"/>
  <c r="F20" s="1"/>
  <c r="D27"/>
  <c r="E27" l="1"/>
  <c r="F27"/>
  <c r="F28" s="1"/>
  <c r="F29" l="1"/>
  <c r="F30" s="1"/>
  <c r="F31" s="1"/>
  <c r="F32" l="1"/>
  <c r="G34" s="1"/>
  <c r="G33"/>
  <c r="C13" i="1" l="1"/>
  <c r="F22" l="1"/>
  <c r="F23" s="1"/>
  <c r="E22"/>
  <c r="E23" s="1"/>
  <c r="D22"/>
  <c r="D23" s="1"/>
  <c r="C22"/>
  <c r="C23" s="1"/>
  <c r="B22"/>
  <c r="B23" s="1"/>
  <c r="F20"/>
  <c r="F21" s="1"/>
  <c r="E20"/>
  <c r="E21" s="1"/>
  <c r="D20"/>
  <c r="D21" s="1"/>
  <c r="C20"/>
  <c r="C21" s="1"/>
  <c r="B20"/>
  <c r="B21" s="1"/>
  <c r="F18"/>
  <c r="F19" s="1"/>
  <c r="E18"/>
  <c r="E19" s="1"/>
  <c r="D18"/>
  <c r="D19" s="1"/>
  <c r="C18"/>
  <c r="C19" s="1"/>
  <c r="B18"/>
  <c r="B19" s="1"/>
  <c r="F16"/>
  <c r="F17" s="1"/>
  <c r="E16"/>
  <c r="E17" s="1"/>
  <c r="D16"/>
  <c r="D17" s="1"/>
  <c r="C16"/>
  <c r="C17" s="1"/>
  <c r="B16"/>
  <c r="B17" s="1"/>
  <c r="B12"/>
  <c r="B11"/>
  <c r="B10"/>
  <c r="B9"/>
  <c r="B8"/>
  <c r="G17" l="1"/>
  <c r="G19"/>
  <c r="G21"/>
  <c r="G23"/>
</calcChain>
</file>

<file path=xl/sharedStrings.xml><?xml version="1.0" encoding="utf-8"?>
<sst xmlns="http://schemas.openxmlformats.org/spreadsheetml/2006/main" count="1082" uniqueCount="216">
  <si>
    <t>반장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</si>
  <si>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</si>
  <si>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</si>
  <si>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</si>
  <si>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</si>
  <si>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휴</t>
    <phoneticPr fontId="2" type="noConversion"/>
  </si>
  <si>
    <t>오전</t>
    <phoneticPr fontId="2" type="noConversion"/>
  </si>
  <si>
    <t>풀</t>
    <phoneticPr fontId="2" type="noConversion"/>
  </si>
  <si>
    <t>오후</t>
    <phoneticPr fontId="2" type="noConversion"/>
  </si>
  <si>
    <t>야간</t>
    <phoneticPr fontId="2" type="noConversion"/>
  </si>
  <si>
    <t>근로</t>
    <phoneticPr fontId="2" type="noConversion"/>
  </si>
  <si>
    <t>합</t>
    <phoneticPr fontId="2" type="noConversion"/>
  </si>
  <si>
    <t>휴게</t>
    <phoneticPr fontId="2" type="noConversion"/>
  </si>
  <si>
    <t>근로시간</t>
    <phoneticPr fontId="2" type="noConversion"/>
  </si>
  <si>
    <t>합계</t>
    <phoneticPr fontId="2" type="noConversion"/>
  </si>
  <si>
    <t>*야간근로 : 오후10시~오전06시</t>
    <phoneticPr fontId="2" type="noConversion"/>
  </si>
  <si>
    <t>□ 적용기간 : 2021. 2. 1 ~ 2022. 1. 31</t>
    <phoneticPr fontId="2" type="noConversion"/>
  </si>
  <si>
    <t>(단위 : 원)</t>
    <phoneticPr fontId="9" type="noConversion"/>
  </si>
  <si>
    <t>구  분</t>
    <phoneticPr fontId="9" type="noConversion"/>
  </si>
  <si>
    <t>경비원/4명</t>
    <phoneticPr fontId="9" type="noConversion"/>
  </si>
  <si>
    <t>월 합계
(A)</t>
    <phoneticPr fontId="9" type="noConversion"/>
  </si>
  <si>
    <t>12개월 합계
(A*12)</t>
    <phoneticPr fontId="9" type="noConversion"/>
  </si>
  <si>
    <t>비   고</t>
    <phoneticPr fontId="9" type="noConversion"/>
  </si>
  <si>
    <t>인
건
비</t>
    <phoneticPr fontId="9" type="noConversion"/>
  </si>
  <si>
    <t>시  급</t>
    <phoneticPr fontId="9" type="noConversion"/>
  </si>
  <si>
    <t>월 근무 시간</t>
    <phoneticPr fontId="9" type="noConversion"/>
  </si>
  <si>
    <t>기본급</t>
    <phoneticPr fontId="9" type="noConversion"/>
  </si>
  <si>
    <t>연장(야간)수당</t>
    <phoneticPr fontId="9" type="noConversion"/>
  </si>
  <si>
    <t>근로자의날 수당</t>
    <phoneticPr fontId="2" type="noConversion"/>
  </si>
  <si>
    <t>교통지원비</t>
    <phoneticPr fontId="9" type="noConversion"/>
  </si>
  <si>
    <t>연차수당</t>
    <phoneticPr fontId="9" type="noConversion"/>
  </si>
  <si>
    <t>휴일수당</t>
    <phoneticPr fontId="9" type="noConversion"/>
  </si>
  <si>
    <t>직책수당</t>
    <phoneticPr fontId="9" type="noConversion"/>
  </si>
  <si>
    <t>능률수당</t>
    <phoneticPr fontId="9" type="noConversion"/>
  </si>
  <si>
    <t>상여금(100%)</t>
    <phoneticPr fontId="9" type="noConversion"/>
  </si>
  <si>
    <t>소  계</t>
    <phoneticPr fontId="9" type="noConversion"/>
  </si>
  <si>
    <t>퇴직급여충당금</t>
    <phoneticPr fontId="9" type="noConversion"/>
  </si>
  <si>
    <t>근로기준법 제34조</t>
    <phoneticPr fontId="9" type="noConversion"/>
  </si>
  <si>
    <t>인건비합계</t>
    <phoneticPr fontId="9" type="noConversion"/>
  </si>
  <si>
    <t>국민연금료</t>
    <phoneticPr fontId="9" type="noConversion"/>
  </si>
  <si>
    <t>국민연금법 제88조(4.5%)
60세 이상 제외</t>
    <phoneticPr fontId="2" type="noConversion"/>
  </si>
  <si>
    <t>경
비</t>
    <phoneticPr fontId="9" type="noConversion"/>
  </si>
  <si>
    <t>건강보험료</t>
    <phoneticPr fontId="9" type="noConversion"/>
  </si>
  <si>
    <t>국민건강보험법 제69조(3.495%)</t>
    <phoneticPr fontId="2" type="noConversion"/>
  </si>
  <si>
    <t>장기요양보험료</t>
    <phoneticPr fontId="9" type="noConversion"/>
  </si>
  <si>
    <t>노인장기요양보험법 제8조의1(12.27%)</t>
    <phoneticPr fontId="2" type="noConversion"/>
  </si>
  <si>
    <t>고용보험료</t>
    <phoneticPr fontId="9" type="noConversion"/>
  </si>
  <si>
    <t>고용보험법 제6조(1.15%)</t>
    <phoneticPr fontId="2" type="noConversion"/>
  </si>
  <si>
    <t>산재보험료</t>
    <phoneticPr fontId="9" type="noConversion"/>
  </si>
  <si>
    <t>산업재해보상보험법 제4조(0.8%)+출퇴근재해0.1%</t>
    <phoneticPr fontId="2" type="noConversion"/>
  </si>
  <si>
    <t>임금채권부담금</t>
    <phoneticPr fontId="9" type="noConversion"/>
  </si>
  <si>
    <t>임금채권보장보험법 제8조(0.06%)</t>
    <phoneticPr fontId="2" type="noConversion"/>
  </si>
  <si>
    <t>복리후생비</t>
    <phoneticPr fontId="9" type="noConversion"/>
  </si>
  <si>
    <t>애경사,명절 선물등</t>
    <phoneticPr fontId="9" type="noConversion"/>
  </si>
  <si>
    <t>피복비</t>
    <phoneticPr fontId="9" type="noConversion"/>
  </si>
  <si>
    <t>식대(야간)</t>
    <phoneticPr fontId="2" type="noConversion"/>
  </si>
  <si>
    <t>2인*30일</t>
    <phoneticPr fontId="2" type="noConversion"/>
  </si>
  <si>
    <t>소   계</t>
    <phoneticPr fontId="9" type="noConversion"/>
  </si>
  <si>
    <t>원가계</t>
    <phoneticPr fontId="9" type="noConversion"/>
  </si>
  <si>
    <t>일반관리비</t>
    <phoneticPr fontId="9" type="noConversion"/>
  </si>
  <si>
    <t>순원가*4%적용</t>
    <phoneticPr fontId="9" type="noConversion"/>
  </si>
  <si>
    <t>기업이윤</t>
    <phoneticPr fontId="9" type="noConversion"/>
  </si>
  <si>
    <t>(순원가+일반관리비)*5%</t>
    <phoneticPr fontId="9" type="noConversion"/>
  </si>
  <si>
    <t>합     계</t>
    <phoneticPr fontId="9" type="noConversion"/>
  </si>
  <si>
    <t>부가세(10%)</t>
    <phoneticPr fontId="9" type="noConversion"/>
  </si>
  <si>
    <t xml:space="preserve"> 1) 소 계(부가세 별도) : </t>
    <phoneticPr fontId="2" type="noConversion"/>
  </si>
  <si>
    <t xml:space="preserve">2) 합 계(부가세 포함) : </t>
    <phoneticPr fontId="9" type="noConversion"/>
  </si>
  <si>
    <t>2022년 하반기 단순노무종사원(84,618)</t>
    <phoneticPr fontId="2" type="noConversion"/>
  </si>
  <si>
    <t>1사이클 당 근로시간</t>
  </si>
  <si>
    <t>1사이클 당 근로시간</t>
    <phoneticPr fontId="2" type="noConversion"/>
  </si>
  <si>
    <t>1개월 근로시간</t>
  </si>
  <si>
    <t>1개월 근로시간</t>
    <phoneticPr fontId="2" type="noConversion"/>
  </si>
  <si>
    <t>1사이클 당 근로시간 / 1사이클 주기 * 365 / 12</t>
    <phoneticPr fontId="2" type="noConversion"/>
  </si>
  <si>
    <t>1사이클 당 야간근로</t>
    <phoneticPr fontId="2" type="noConversion"/>
  </si>
  <si>
    <t>(5*4)+(2*4)</t>
    <phoneticPr fontId="2" type="noConversion"/>
  </si>
  <si>
    <t>1개월 야간근로</t>
    <phoneticPr fontId="2" type="noConversion"/>
  </si>
  <si>
    <t>1사이클 당 야간근로 / 1사이클 주기 * 365 / 12 * 0.5</t>
    <phoneticPr fontId="2" type="noConversion"/>
  </si>
  <si>
    <t>1사이클 당 야간 근로시간</t>
    <phoneticPr fontId="2" type="noConversion"/>
  </si>
  <si>
    <t>1개월 야간 근로시간</t>
    <phoneticPr fontId="2" type="noConversion"/>
  </si>
  <si>
    <t>23년 최저시급</t>
    <phoneticPr fontId="2" type="noConversion"/>
  </si>
  <si>
    <t>23년 안산시 생활임금</t>
    <phoneticPr fontId="2" type="noConversion"/>
  </si>
  <si>
    <t>22년 하반기 단순노무종사원</t>
    <phoneticPr fontId="2" type="noConversion"/>
  </si>
  <si>
    <t>구분</t>
    <phoneticPr fontId="2" type="noConversion"/>
  </si>
  <si>
    <t>주말</t>
    <phoneticPr fontId="2" type="noConversion"/>
  </si>
  <si>
    <t>토</t>
    <phoneticPr fontId="2" type="noConversion"/>
  </si>
  <si>
    <t>일</t>
    <phoneticPr fontId="2" type="noConversion"/>
  </si>
  <si>
    <t>(월~금)</t>
    <phoneticPr fontId="2" type="noConversion"/>
  </si>
  <si>
    <t>주중</t>
    <phoneticPr fontId="2" type="noConversion"/>
  </si>
  <si>
    <t>반장근무(A)</t>
    <phoneticPr fontId="2" type="noConversion"/>
  </si>
  <si>
    <t>오전근무(B)</t>
    <phoneticPr fontId="2" type="noConversion"/>
  </si>
  <si>
    <t>야간근무(D)</t>
    <phoneticPr fontId="2" type="noConversion"/>
  </si>
  <si>
    <t>오후근무(C)</t>
    <phoneticPr fontId="2" type="noConversion"/>
  </si>
  <si>
    <t>합 10시간 = 근로 9시간 + 휴게 1시간</t>
    <phoneticPr fontId="2" type="noConversion"/>
  </si>
  <si>
    <t>07시 ~ 17시</t>
    <phoneticPr fontId="2" type="noConversion"/>
  </si>
  <si>
    <t>06시 ~ 12시 30분</t>
    <phoneticPr fontId="2" type="noConversion"/>
  </si>
  <si>
    <t>합 6.5시간 = 근로 6시간 + 휴게 0.5시간</t>
    <phoneticPr fontId="2" type="noConversion"/>
  </si>
  <si>
    <t>12시 30분 ~ 19시</t>
    <phoneticPr fontId="2" type="noConversion"/>
  </si>
  <si>
    <t>19시 ~ 06시</t>
    <phoneticPr fontId="2" type="noConversion"/>
  </si>
  <si>
    <t>휴무</t>
    <phoneticPr fontId="2" type="noConversion"/>
  </si>
  <si>
    <t>풀근무
06시~06시</t>
    <phoneticPr fontId="2" type="noConversion"/>
  </si>
  <si>
    <t>■경비실 근무형태 및 근무시간 현황</t>
    <phoneticPr fontId="2" type="noConversion"/>
  </si>
  <si>
    <t>□ 적용기간 : 2023. 3. 1 ~ 2024. 2. 29</t>
    <phoneticPr fontId="2" type="noConversion"/>
  </si>
  <si>
    <t>국민건강보험법 제69조(3.545%)</t>
  </si>
  <si>
    <t>노인장기요양보험법 제8조의1(12.81%)</t>
  </si>
  <si>
    <t>건강보험료의 12.81%</t>
  </si>
  <si>
    <t>고용보험법 제6조(1.15%)</t>
  </si>
  <si>
    <t>0.9% + 0.25%(150인 미만 사업장)</t>
  </si>
  <si>
    <t>산업재해보상보험법 제4조(0.8%)+출퇴근재해0.1%</t>
  </si>
  <si>
    <t>시설관리 및 사업지원 서비스업 0.8% + 출퇴근재해 0.1%</t>
  </si>
  <si>
    <t>임금채권보장보험법 제8조(0.06%)</t>
  </si>
  <si>
    <t>합 11시간 = 근로 6시간 + 휴게 5시간
(야간 4시간)</t>
    <phoneticPr fontId="2" type="noConversion"/>
  </si>
  <si>
    <t xml:space="preserve">  - 적용 : 야간근로 가산수당, 근로자의날, 연차유급휴가
  - 미적용 : 주40시간, 연장 12시간 한도, 연장/휴일 가산근로, 주휴수당, 휴게시간</t>
    <phoneticPr fontId="2" type="noConversion"/>
  </si>
  <si>
    <t>06:00~07:00</t>
    <phoneticPr fontId="2" type="noConversion"/>
  </si>
  <si>
    <t>07:00~08:00</t>
    <phoneticPr fontId="2" type="noConversion"/>
  </si>
  <si>
    <t>08:00~09:00</t>
    <phoneticPr fontId="2" type="noConversion"/>
  </si>
  <si>
    <t>09:00~10:00</t>
    <phoneticPr fontId="2" type="noConversion"/>
  </si>
  <si>
    <t>10:00~11:00</t>
    <phoneticPr fontId="2" type="noConversion"/>
  </si>
  <si>
    <t>11:00~12:00</t>
    <phoneticPr fontId="2" type="noConversion"/>
  </si>
  <si>
    <t>12:00~12:30</t>
    <phoneticPr fontId="2" type="noConversion"/>
  </si>
  <si>
    <t>12:30~13:00</t>
    <phoneticPr fontId="2" type="noConversion"/>
  </si>
  <si>
    <t>13:00~14:00</t>
    <phoneticPr fontId="2" type="noConversion"/>
  </si>
  <si>
    <t>14:00~15:00</t>
    <phoneticPr fontId="2" type="noConversion"/>
  </si>
  <si>
    <t>15:00~16:00</t>
    <phoneticPr fontId="2" type="noConversion"/>
  </si>
  <si>
    <t>16:00~17:00</t>
    <phoneticPr fontId="2" type="noConversion"/>
  </si>
  <si>
    <t>17:00~18:00</t>
    <phoneticPr fontId="2" type="noConversion"/>
  </si>
  <si>
    <t>18:00~19:00</t>
    <phoneticPr fontId="2" type="noConversion"/>
  </si>
  <si>
    <t>19:00~20:00</t>
    <phoneticPr fontId="2" type="noConversion"/>
  </si>
  <si>
    <t>20:00~21:00</t>
    <phoneticPr fontId="2" type="noConversion"/>
  </si>
  <si>
    <t>21:00~22:00</t>
    <phoneticPr fontId="2" type="noConversion"/>
  </si>
  <si>
    <t>22:00~23:00</t>
    <phoneticPr fontId="2" type="noConversion"/>
  </si>
  <si>
    <t>23:00~24:00</t>
    <phoneticPr fontId="2" type="noConversion"/>
  </si>
  <si>
    <t>24:00~01:00</t>
    <phoneticPr fontId="2" type="noConversion"/>
  </si>
  <si>
    <t>01:00~02:00</t>
    <phoneticPr fontId="2" type="noConversion"/>
  </si>
  <si>
    <t>02:00~03:00</t>
    <phoneticPr fontId="2" type="noConversion"/>
  </si>
  <si>
    <t>03:00~04:00</t>
    <phoneticPr fontId="2" type="noConversion"/>
  </si>
  <si>
    <t>04:00~05:00</t>
    <phoneticPr fontId="2" type="noConversion"/>
  </si>
  <si>
    <t>05:00~06:00</t>
    <phoneticPr fontId="2" type="noConversion"/>
  </si>
  <si>
    <t>휴게시간(1)</t>
    <phoneticPr fontId="2" type="noConversion"/>
  </si>
  <si>
    <t>휴게시간(4)</t>
    <phoneticPr fontId="2" type="noConversion"/>
  </si>
  <si>
    <t>근무시간(6)</t>
    <phoneticPr fontId="2" type="noConversion"/>
  </si>
  <si>
    <t>근무시간(4)</t>
    <phoneticPr fontId="2" type="noConversion"/>
  </si>
  <si>
    <t>근무시간(2)</t>
    <phoneticPr fontId="2" type="noConversion"/>
  </si>
  <si>
    <t>시간</t>
    <phoneticPr fontId="2" type="noConversion"/>
  </si>
  <si>
    <t>근무타입</t>
    <phoneticPr fontId="2" type="noConversion"/>
  </si>
  <si>
    <t>※ 주간단위 근무교대 : A → B → C → D</t>
  </si>
  <si>
    <t>※ 휴게시간</t>
  </si>
  <si>
    <t>※ 감시단속적 근로종사자에 대한 적용제외 승인 득</t>
  </si>
  <si>
    <t xml:space="preserve">  - 적용 : 야간근로 가산수당, 근로자의날, 연차유급휴가</t>
  </si>
  <si>
    <t xml:space="preserve">  - 미적용 : 주40시간, 연장 12시간 한도, 연장/휴일 가산근로, 주휴수당, 휴게시간</t>
  </si>
  <si>
    <r>
      <t xml:space="preserve">오전근무(B)
</t>
    </r>
    <r>
      <rPr>
        <sz val="9"/>
        <color rgb="FFFF0000"/>
        <rFont val="맑은 고딕"/>
        <family val="3"/>
        <charset val="129"/>
        <scheme val="minor"/>
      </rPr>
      <t>합 6.5시간 = 근로 6시간 + 휴게 0.5시간</t>
    </r>
    <phoneticPr fontId="2" type="noConversion"/>
  </si>
  <si>
    <r>
      <t xml:space="preserve">반장(A)
</t>
    </r>
    <r>
      <rPr>
        <sz val="9"/>
        <color rgb="FFFF0000"/>
        <rFont val="맑은 고딕"/>
        <family val="3"/>
        <charset val="129"/>
        <scheme val="minor"/>
      </rPr>
      <t>합 10시간 = 근로 9시간 + 휴게 1시간</t>
    </r>
    <phoneticPr fontId="2" type="noConversion"/>
  </si>
  <si>
    <r>
      <t xml:space="preserve">오후근무©
</t>
    </r>
    <r>
      <rPr>
        <sz val="9"/>
        <color rgb="FFFF0000"/>
        <rFont val="맑은 고딕"/>
        <family val="3"/>
        <charset val="129"/>
        <scheme val="minor"/>
      </rPr>
      <t>합 6.5시간 = 근로 6시간 + 휴게 0.5시간</t>
    </r>
    <phoneticPr fontId="2" type="noConversion"/>
  </si>
  <si>
    <t>야간수당</t>
    <phoneticPr fontId="2" type="noConversion"/>
  </si>
  <si>
    <t>근로자의날</t>
    <phoneticPr fontId="2" type="noConversion"/>
  </si>
  <si>
    <t>상여금</t>
    <phoneticPr fontId="9" type="noConversion"/>
  </si>
  <si>
    <t>합 24시간 = 근로 16시간 + 휴게 8시간
(야간 4시간)</t>
    <phoneticPr fontId="2" type="noConversion"/>
  </si>
  <si>
    <r>
      <t xml:space="preserve">풀근무
</t>
    </r>
    <r>
      <rPr>
        <sz val="9"/>
        <color rgb="FFFF0000"/>
        <rFont val="맑은 고딕"/>
        <family val="3"/>
        <charset val="129"/>
        <scheme val="minor"/>
      </rPr>
      <t>합 24시간 = 근로 16시간 + 휴게 8시간
(야간 4시간)</t>
    </r>
    <phoneticPr fontId="2" type="noConversion"/>
  </si>
  <si>
    <t>5*(9+6+6+6)+2*16</t>
    <phoneticPr fontId="2" type="noConversion"/>
  </si>
  <si>
    <t>순원가*%적용</t>
    <phoneticPr fontId="9" type="noConversion"/>
  </si>
  <si>
    <t>(순원가+일반관리비)*%</t>
    <phoneticPr fontId="9" type="noConversion"/>
  </si>
  <si>
    <t>근무 및 휴게(평일)</t>
    <phoneticPr fontId="2" type="noConversion"/>
  </si>
  <si>
    <t>근무 및 휴게(주말)</t>
    <phoneticPr fontId="2" type="noConversion"/>
  </si>
  <si>
    <t>근무시간(5)</t>
    <phoneticPr fontId="2" type="noConversion"/>
  </si>
  <si>
    <t>휴게시간(2)</t>
    <phoneticPr fontId="2" type="noConversion"/>
  </si>
  <si>
    <t>점심 12시 ~ 13시 (평일), 11시 ~ 13시(주말)</t>
    <phoneticPr fontId="2" type="noConversion"/>
  </si>
  <si>
    <t>저녁 19시 ~ 20시 (평일), 18시 ~ 20시(주말)</t>
    <phoneticPr fontId="2" type="noConversion"/>
  </si>
  <si>
    <t>국민연금법 제88조(60세 이상 제외)</t>
    <phoneticPr fontId="2" type="noConversion"/>
  </si>
  <si>
    <t>근무타입(평일)</t>
    <phoneticPr fontId="2" type="noConversion"/>
  </si>
  <si>
    <t>근무타입(주말)</t>
    <phoneticPr fontId="2" type="noConversion"/>
  </si>
  <si>
    <t>합 11시간 = 근로 8시간 + 휴게 3시간
(야간 6시간)</t>
    <phoneticPr fontId="2" type="noConversion"/>
  </si>
  <si>
    <t>야간 00시 ~ 02시 (평일), 00시 ~ 04시(주말)</t>
    <phoneticPr fontId="2" type="noConversion"/>
  </si>
  <si>
    <t>5*(9+6+6+8)+2*16</t>
    <phoneticPr fontId="2" type="noConversion"/>
  </si>
  <si>
    <t>(5*6)+(2*4)</t>
    <phoneticPr fontId="2" type="noConversion"/>
  </si>
  <si>
    <r>
      <t xml:space="preserve">야간근무(D)
</t>
    </r>
    <r>
      <rPr>
        <sz val="9"/>
        <color rgb="FF0070C0"/>
        <rFont val="맑은 고딕"/>
        <family val="3"/>
        <charset val="129"/>
        <scheme val="minor"/>
      </rPr>
      <t>합 11시간 = 근로 8시간 + 휴게 3시간
(야간 6시간)</t>
    </r>
    <phoneticPr fontId="2" type="noConversion"/>
  </si>
  <si>
    <r>
      <t xml:space="preserve">야간근무(D)
</t>
    </r>
    <r>
      <rPr>
        <sz val="9"/>
        <color rgb="FF0070C0"/>
        <rFont val="맑은 고딕"/>
        <family val="3"/>
        <charset val="129"/>
        <scheme val="minor"/>
      </rPr>
      <t>합 11시간 = 근로 6시간 + 휴게 5시간
(야간 4시간)</t>
    </r>
    <phoneticPr fontId="2" type="noConversion"/>
  </si>
  <si>
    <t>야간 00시 ~ 04시 (평일), 00시 ~ 04시(주말)</t>
    <phoneticPr fontId="2" type="noConversion"/>
  </si>
  <si>
    <t>5*(9+6+6+9)+2*16</t>
    <phoneticPr fontId="2" type="noConversion"/>
  </si>
  <si>
    <t>(5*7)+(2*4)</t>
    <phoneticPr fontId="2" type="noConversion"/>
  </si>
  <si>
    <t>주</t>
    <phoneticPr fontId="2" type="noConversion"/>
  </si>
  <si>
    <t>야</t>
    <phoneticPr fontId="2" type="noConversion"/>
  </si>
  <si>
    <t>비</t>
    <phoneticPr fontId="2" type="noConversion"/>
  </si>
  <si>
    <t>근무 및 휴게</t>
    <phoneticPr fontId="2" type="noConversion"/>
  </si>
  <si>
    <t>■경비용역 근무형태 및 근무시간</t>
    <phoneticPr fontId="2" type="noConversion"/>
  </si>
  <si>
    <t>※ 근무형태 : 야간 맞교대</t>
    <phoneticPr fontId="2" type="noConversion"/>
  </si>
  <si>
    <t>18:00 ~ 19:00</t>
    <phoneticPr fontId="2" type="noConversion"/>
  </si>
  <si>
    <t>19:00 ~ 20:00</t>
    <phoneticPr fontId="2" type="noConversion"/>
  </si>
  <si>
    <t>20:00 ~ 21:00</t>
    <phoneticPr fontId="2" type="noConversion"/>
  </si>
  <si>
    <t>21:00 ~ 22:00</t>
    <phoneticPr fontId="2" type="noConversion"/>
  </si>
  <si>
    <t>22:00 ~ 23:00</t>
    <phoneticPr fontId="2" type="noConversion"/>
  </si>
  <si>
    <t>23:00 ~ 00:00</t>
    <phoneticPr fontId="2" type="noConversion"/>
  </si>
  <si>
    <t>00:00 ~ 01:00</t>
    <phoneticPr fontId="2" type="noConversion"/>
  </si>
  <si>
    <t>01:00 ~ 02:00</t>
    <phoneticPr fontId="2" type="noConversion"/>
  </si>
  <si>
    <t>02:00 ~ 03:00</t>
    <phoneticPr fontId="2" type="noConversion"/>
  </si>
  <si>
    <t>휴게시간 (1시간)</t>
    <phoneticPr fontId="2" type="noConversion"/>
  </si>
  <si>
    <t>근무시간 (1시간)</t>
    <phoneticPr fontId="2" type="noConversion"/>
  </si>
  <si>
    <t>근무시간 (4시간)</t>
    <phoneticPr fontId="2" type="noConversion"/>
  </si>
  <si>
    <t>휴게시간 (2시간)</t>
    <phoneticPr fontId="2" type="noConversion"/>
  </si>
  <si>
    <t>근무시간 (6시간)</t>
    <phoneticPr fontId="2" type="noConversion"/>
  </si>
  <si>
    <t>03:00 ~ 04:00</t>
    <phoneticPr fontId="2" type="noConversion"/>
  </si>
  <si>
    <t>04:00 ~ 05:00</t>
    <phoneticPr fontId="2" type="noConversion"/>
  </si>
  <si>
    <t>05:00 ~ 06:00</t>
    <phoneticPr fontId="2" type="noConversion"/>
  </si>
  <si>
    <t>06:00 ~ 07:00</t>
    <phoneticPr fontId="2" type="noConversion"/>
  </si>
  <si>
    <t>07:00 ~ 08:00</t>
    <phoneticPr fontId="2" type="noConversion"/>
  </si>
  <si>
    <t>야간 맞교대
총 14시간중
11시간 근로시간
3시간 휴게시간
(야간 할증 50% 22:00~06:00)</t>
    <phoneticPr fontId="2" type="noConversion"/>
  </si>
  <si>
    <t>식대(야간)</t>
    <phoneticPr fontId="2" type="noConversion"/>
  </si>
  <si>
    <t>1일 합계
(A*1)</t>
    <phoneticPr fontId="9" type="noConversion"/>
  </si>
  <si>
    <t>총   합   계</t>
    <phoneticPr fontId="9" type="noConversion"/>
  </si>
  <si>
    <t>(2023.05.31~2023.05.31) 1일분</t>
    <phoneticPr fontId="2" type="noConversion"/>
  </si>
  <si>
    <t>2022년 하반기 중소제조업 직종별임금조사 보고서</t>
    <phoneticPr fontId="2" type="noConversion"/>
  </si>
  <si>
    <t>월 합계(2명)
(A)</t>
    <phoneticPr fontId="9" type="noConversion"/>
  </si>
  <si>
    <t>경비원(1명)</t>
    <phoneticPr fontId="9" type="noConversion"/>
  </si>
  <si>
    <t>□ 적용기간 : 2023. 05. 31 ~ 2023. 05. 31</t>
    <phoneticPr fontId="2" type="noConversion"/>
  </si>
  <si>
    <t>□ 적용기간 : 2023. 06. 01 ~ 2023. 12. 31</t>
    <phoneticPr fontId="2" type="noConversion"/>
  </si>
  <si>
    <t>7개월 합계
(A*7)</t>
    <phoneticPr fontId="9" type="noConversion"/>
  </si>
  <si>
    <t>7개월분+1일분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</si>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</sst>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%"/>
    <numFmt numFmtId="178" formatCode="_-* #,##0.00_-;\-* #,##0.00_-;_-* &quot;-&quot;_-;_-@_-"/>
    <numFmt numFmtId="179" formatCode="0.000%"/>
    <numFmt numFmtId="180" formatCode="0.000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sz val="11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 tint="-0.14999847407452621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79998168889431442"/>
        <bgColor indexed="64"/>
      </patternFill>
    </fill>
  </fills>
  <borders count="1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/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medium">
        <color indexed="64"/>
      </right>
      <top style="hair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3" applyFont="1"/>
    <xf numFmtId="0" fontId="6" fillId="0" borderId="0" xfId="3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7" fillId="0" borderId="0" xfId="3" applyFont="1" applyAlignment="1">
      <alignment horizontal="left" vertical="center"/>
    </xf>
    <xf numFmtId="176" fontId="8" fillId="0" borderId="0" xfId="3" applyNumberFormat="1" applyFont="1" applyAlignment="1">
      <alignment vertical="center"/>
    </xf>
    <xf numFmtId="0" fontId="5" fillId="0" borderId="0" xfId="3" applyFont="1" applyAlignment="1">
      <alignment horizontal="right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/>
    </xf>
    <xf numFmtId="41" fontId="10" fillId="0" borderId="8" xfId="4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41" fontId="10" fillId="2" borderId="9" xfId="3" applyNumberFormat="1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12" xfId="3" applyFont="1" applyFill="1" applyBorder="1" applyAlignment="1">
      <alignment horizontal="center" vertical="center"/>
    </xf>
    <xf numFmtId="0" fontId="10" fillId="3" borderId="14" xfId="3" applyFont="1" applyFill="1" applyBorder="1" applyAlignment="1">
      <alignment horizontal="center" vertical="center" wrapText="1"/>
    </xf>
    <xf numFmtId="41" fontId="10" fillId="2" borderId="14" xfId="3" applyNumberFormat="1" applyFont="1" applyFill="1" applyBorder="1" applyAlignment="1">
      <alignment horizontal="center" vertical="center" wrapText="1"/>
    </xf>
    <xf numFmtId="0" fontId="10" fillId="3" borderId="15" xfId="3" applyFont="1" applyFill="1" applyBorder="1" applyAlignment="1">
      <alignment horizontal="center" vertical="center" wrapText="1"/>
    </xf>
    <xf numFmtId="41" fontId="11" fillId="3" borderId="13" xfId="4" applyFont="1" applyFill="1" applyBorder="1" applyAlignment="1">
      <alignment vertical="center"/>
    </xf>
    <xf numFmtId="41" fontId="11" fillId="3" borderId="14" xfId="4" applyFont="1" applyFill="1" applyBorder="1" applyAlignment="1">
      <alignment vertical="center"/>
    </xf>
    <xf numFmtId="41" fontId="11" fillId="2" borderId="14" xfId="4" applyFont="1" applyFill="1" applyBorder="1" applyAlignment="1">
      <alignment vertical="center"/>
    </xf>
    <xf numFmtId="0" fontId="11" fillId="3" borderId="15" xfId="4" applyNumberFormat="1" applyFont="1" applyFill="1" applyBorder="1" applyAlignment="1">
      <alignment vertical="center" wrapText="1"/>
    </xf>
    <xf numFmtId="0" fontId="11" fillId="3" borderId="16" xfId="4" applyNumberFormat="1" applyFont="1" applyFill="1" applyBorder="1" applyAlignment="1">
      <alignment vertical="center"/>
    </xf>
    <xf numFmtId="41" fontId="11" fillId="3" borderId="13" xfId="4" applyFont="1" applyFill="1" applyBorder="1" applyAlignment="1">
      <alignment horizontal="center" vertical="center"/>
    </xf>
    <xf numFmtId="0" fontId="11" fillId="3" borderId="15" xfId="4" applyNumberFormat="1" applyFont="1" applyFill="1" applyBorder="1" applyAlignment="1">
      <alignment vertical="center"/>
    </xf>
    <xf numFmtId="41" fontId="11" fillId="0" borderId="13" xfId="4" applyFont="1" applyFill="1" applyBorder="1" applyAlignment="1">
      <alignment vertical="center"/>
    </xf>
    <xf numFmtId="0" fontId="11" fillId="3" borderId="17" xfId="4" applyNumberFormat="1" applyFont="1" applyFill="1" applyBorder="1" applyAlignment="1">
      <alignment vertical="center"/>
    </xf>
    <xf numFmtId="41" fontId="11" fillId="2" borderId="18" xfId="4" applyFont="1" applyFill="1" applyBorder="1" applyAlignment="1">
      <alignment vertical="center"/>
    </xf>
    <xf numFmtId="0" fontId="11" fillId="3" borderId="19" xfId="4" applyNumberFormat="1" applyFont="1" applyFill="1" applyBorder="1" applyAlignment="1">
      <alignment vertical="center"/>
    </xf>
    <xf numFmtId="0" fontId="10" fillId="4" borderId="20" xfId="3" applyFont="1" applyFill="1" applyBorder="1" applyAlignment="1">
      <alignment horizontal="center" vertical="center"/>
    </xf>
    <xf numFmtId="41" fontId="7" fillId="4" borderId="21" xfId="4" applyFont="1" applyFill="1" applyBorder="1" applyAlignment="1">
      <alignment horizontal="center" vertical="center"/>
    </xf>
    <xf numFmtId="41" fontId="7" fillId="4" borderId="22" xfId="4" applyFont="1" applyFill="1" applyBorder="1" applyAlignment="1">
      <alignment vertical="center"/>
    </xf>
    <xf numFmtId="41" fontId="12" fillId="4" borderId="23" xfId="4" applyFont="1" applyFill="1" applyBorder="1" applyAlignment="1">
      <alignment horizontal="left" vertical="center"/>
    </xf>
    <xf numFmtId="0" fontId="11" fillId="4" borderId="24" xfId="3" applyFont="1" applyFill="1" applyBorder="1" applyAlignment="1">
      <alignment horizontal="center" vertical="center"/>
    </xf>
    <xf numFmtId="41" fontId="11" fillId="4" borderId="25" xfId="4" applyFont="1" applyFill="1" applyBorder="1" applyAlignment="1">
      <alignment horizontal="center" vertical="center"/>
    </xf>
    <xf numFmtId="41" fontId="11" fillId="3" borderId="22" xfId="4" applyFont="1" applyFill="1" applyBorder="1" applyAlignment="1">
      <alignment vertical="center"/>
    </xf>
    <xf numFmtId="41" fontId="11" fillId="2" borderId="22" xfId="4" applyFont="1" applyFill="1" applyBorder="1" applyAlignment="1">
      <alignment vertical="center"/>
    </xf>
    <xf numFmtId="0" fontId="11" fillId="3" borderId="23" xfId="4" applyNumberFormat="1" applyFont="1" applyFill="1" applyBorder="1" applyAlignment="1">
      <alignment horizontal="left" vertical="center"/>
    </xf>
    <xf numFmtId="0" fontId="10" fillId="0" borderId="20" xfId="3" applyFont="1" applyBorder="1" applyAlignment="1">
      <alignment horizontal="center" vertical="center"/>
    </xf>
    <xf numFmtId="41" fontId="11" fillId="0" borderId="21" xfId="4" applyFont="1" applyFill="1" applyBorder="1" applyAlignment="1">
      <alignment horizontal="center" vertical="center"/>
    </xf>
    <xf numFmtId="0" fontId="10" fillId="0" borderId="27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41" fontId="11" fillId="3" borderId="29" xfId="4" applyFont="1" applyFill="1" applyBorder="1" applyAlignment="1">
      <alignment horizontal="center" vertical="center"/>
    </xf>
    <xf numFmtId="0" fontId="11" fillId="0" borderId="30" xfId="5" applyFont="1" applyBorder="1" applyAlignment="1">
      <alignment horizontal="left" vertical="center" wrapText="1"/>
    </xf>
    <xf numFmtId="0" fontId="10" fillId="0" borderId="13" xfId="3" applyFont="1" applyBorder="1" applyAlignment="1">
      <alignment horizontal="center" vertical="center"/>
    </xf>
    <xf numFmtId="41" fontId="10" fillId="3" borderId="29" xfId="4" applyFont="1" applyFill="1" applyBorder="1" applyAlignment="1">
      <alignment horizontal="center" vertical="center"/>
    </xf>
    <xf numFmtId="0" fontId="11" fillId="0" borderId="15" xfId="5" applyFont="1" applyBorder="1" applyAlignment="1">
      <alignment horizontal="left" vertical="center"/>
    </xf>
    <xf numFmtId="0" fontId="11" fillId="0" borderId="15" xfId="5" applyFont="1" applyBorder="1" applyAlignment="1">
      <alignment horizontal="left" vertical="center" wrapText="1"/>
    </xf>
    <xf numFmtId="0" fontId="10" fillId="0" borderId="31" xfId="3" applyFont="1" applyBorder="1" applyAlignment="1">
      <alignment horizontal="center" vertical="center"/>
    </xf>
    <xf numFmtId="41" fontId="11" fillId="3" borderId="31" xfId="4" applyFont="1" applyFill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41" fontId="11" fillId="3" borderId="25" xfId="4" applyFont="1" applyFill="1" applyBorder="1" applyAlignment="1">
      <alignment horizontal="center" vertical="center"/>
    </xf>
    <xf numFmtId="0" fontId="11" fillId="3" borderId="16" xfId="4" applyNumberFormat="1" applyFont="1" applyFill="1" applyBorder="1" applyAlignment="1">
      <alignment horizontal="left" vertical="center" wrapText="1"/>
    </xf>
    <xf numFmtId="41" fontId="11" fillId="3" borderId="32" xfId="4" applyFont="1" applyFill="1" applyBorder="1" applyAlignment="1">
      <alignment vertical="center"/>
    </xf>
    <xf numFmtId="41" fontId="11" fillId="2" borderId="33" xfId="4" applyFont="1" applyFill="1" applyBorder="1" applyAlignment="1">
      <alignment vertical="center"/>
    </xf>
    <xf numFmtId="0" fontId="11" fillId="3" borderId="30" xfId="4" applyNumberFormat="1" applyFont="1" applyFill="1" applyBorder="1" applyAlignment="1">
      <alignment horizontal="left" vertical="center" wrapText="1"/>
    </xf>
    <xf numFmtId="0" fontId="10" fillId="3" borderId="34" xfId="3" applyFont="1" applyFill="1" applyBorder="1" applyAlignment="1">
      <alignment horizontal="center" vertical="center"/>
    </xf>
    <xf numFmtId="41" fontId="11" fillId="3" borderId="35" xfId="4" applyFont="1" applyFill="1" applyBorder="1" applyAlignment="1">
      <alignment horizontal="center" vertical="center"/>
    </xf>
    <xf numFmtId="41" fontId="11" fillId="2" borderId="36" xfId="4" applyFont="1" applyFill="1" applyBorder="1" applyAlignment="1">
      <alignment vertical="center"/>
    </xf>
    <xf numFmtId="41" fontId="11" fillId="3" borderId="37" xfId="4" applyFont="1" applyFill="1" applyBorder="1" applyAlignment="1">
      <alignment horizontal="left" vertical="center"/>
    </xf>
    <xf numFmtId="41" fontId="11" fillId="3" borderId="23" xfId="4" applyFont="1" applyFill="1" applyBorder="1" applyAlignment="1">
      <alignment horizontal="left" vertical="center"/>
    </xf>
    <xf numFmtId="41" fontId="11" fillId="3" borderId="40" xfId="4" applyFont="1" applyFill="1" applyBorder="1" applyAlignment="1">
      <alignment horizontal="center" vertical="center"/>
    </xf>
    <xf numFmtId="41" fontId="11" fillId="3" borderId="41" xfId="4" applyFont="1" applyFill="1" applyBorder="1" applyAlignment="1">
      <alignment horizontal="center" vertical="center"/>
    </xf>
    <xf numFmtId="41" fontId="11" fillId="3" borderId="22" xfId="4" applyFont="1" applyFill="1" applyBorder="1" applyAlignment="1">
      <alignment horizontal="center" vertical="center"/>
    </xf>
    <xf numFmtId="41" fontId="11" fillId="3" borderId="23" xfId="4" applyFont="1" applyFill="1" applyBorder="1" applyAlignment="1">
      <alignment horizontal="left" vertical="center" shrinkToFit="1"/>
    </xf>
    <xf numFmtId="41" fontId="13" fillId="2" borderId="21" xfId="4" applyFont="1" applyFill="1" applyBorder="1" applyAlignment="1">
      <alignment horizontal="center" vertical="center"/>
    </xf>
    <xf numFmtId="41" fontId="13" fillId="2" borderId="22" xfId="4" applyFont="1" applyFill="1" applyBorder="1" applyAlignment="1">
      <alignment vertical="center"/>
    </xf>
    <xf numFmtId="41" fontId="13" fillId="5" borderId="22" xfId="4" applyFont="1" applyFill="1" applyBorder="1" applyAlignment="1">
      <alignment vertical="center"/>
    </xf>
    <xf numFmtId="41" fontId="13" fillId="2" borderId="23" xfId="4" applyFont="1" applyFill="1" applyBorder="1" applyAlignment="1">
      <alignment horizontal="left" vertical="center"/>
    </xf>
    <xf numFmtId="41" fontId="13" fillId="0" borderId="43" xfId="4" applyFont="1" applyFill="1" applyBorder="1" applyAlignment="1">
      <alignment horizontal="center" vertical="center"/>
    </xf>
    <xf numFmtId="41" fontId="15" fillId="3" borderId="43" xfId="4" applyFont="1" applyFill="1" applyBorder="1" applyAlignment="1">
      <alignment vertical="center"/>
    </xf>
    <xf numFmtId="41" fontId="13" fillId="4" borderId="23" xfId="4" applyFont="1" applyFill="1" applyBorder="1" applyAlignment="1">
      <alignment horizontal="left" vertical="center"/>
    </xf>
    <xf numFmtId="0" fontId="16" fillId="0" borderId="0" xfId="3" applyFont="1" applyAlignment="1">
      <alignment horizontal="right" vertical="center"/>
    </xf>
    <xf numFmtId="41" fontId="6" fillId="0" borderId="2" xfId="3" applyNumberFormat="1" applyFont="1" applyBorder="1" applyAlignment="1">
      <alignment horizontal="right" vertical="center"/>
    </xf>
    <xf numFmtId="41" fontId="6" fillId="0" borderId="44" xfId="3" applyNumberFormat="1" applyFont="1" applyBorder="1" applyAlignment="1">
      <alignment horizontal="right" vertical="center"/>
    </xf>
    <xf numFmtId="41" fontId="6" fillId="0" borderId="6" xfId="3" applyNumberFormat="1" applyFont="1" applyBorder="1" applyAlignment="1">
      <alignment vertical="center"/>
    </xf>
    <xf numFmtId="41" fontId="6" fillId="0" borderId="47" xfId="3" applyNumberFormat="1" applyFont="1" applyBorder="1" applyAlignment="1">
      <alignment vertical="center"/>
    </xf>
    <xf numFmtId="0" fontId="5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177" fontId="17" fillId="0" borderId="0" xfId="2" applyNumberFormat="1" applyFont="1" applyBorder="1" applyAlignment="1">
      <alignment vertical="center"/>
    </xf>
    <xf numFmtId="0" fontId="14" fillId="0" borderId="0" xfId="3" applyFont="1" applyAlignment="1">
      <alignment horizontal="center" vertical="center"/>
    </xf>
    <xf numFmtId="41" fontId="14" fillId="0" borderId="0" xfId="1" applyFont="1" applyAlignment="1">
      <alignment horizontal="center" vertical="center"/>
    </xf>
    <xf numFmtId="178" fontId="10" fillId="3" borderId="13" xfId="4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0" fillId="6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9" fontId="5" fillId="0" borderId="0" xfId="2" applyNumberFormat="1" applyFont="1" applyAlignment="1">
      <alignment horizontal="left"/>
    </xf>
    <xf numFmtId="0" fontId="5" fillId="0" borderId="0" xfId="3" applyFont="1" applyAlignment="1">
      <alignment horizontal="left"/>
    </xf>
    <xf numFmtId="10" fontId="5" fillId="0" borderId="0" xfId="2" applyNumberFormat="1" applyFont="1" applyAlignment="1">
      <alignment horizontal="left"/>
    </xf>
    <xf numFmtId="177" fontId="0" fillId="0" borderId="0" xfId="2" applyNumberFormat="1" applyFont="1" applyAlignment="1">
      <alignment horizontal="left" vertical="center"/>
    </xf>
    <xf numFmtId="10" fontId="0" fillId="0" borderId="0" xfId="2" applyNumberFormat="1" applyFont="1" applyAlignment="1">
      <alignment horizontal="left" vertical="center"/>
    </xf>
    <xf numFmtId="179" fontId="0" fillId="0" borderId="0" xfId="2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6" borderId="57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20" fontId="23" fillId="0" borderId="70" xfId="0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6" borderId="79" xfId="0" applyFont="1" applyFill="1" applyBorder="1" applyAlignment="1">
      <alignment horizontal="center" vertical="center"/>
    </xf>
    <xf numFmtId="0" fontId="3" fillId="6" borderId="80" xfId="0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3" fillId="6" borderId="84" xfId="0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/>
    </xf>
    <xf numFmtId="0" fontId="3" fillId="6" borderId="86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3" fillId="6" borderId="88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6" borderId="89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3" fillId="6" borderId="94" xfId="0" applyFont="1" applyFill="1" applyBorder="1" applyAlignment="1">
      <alignment horizontal="center" vertical="center"/>
    </xf>
    <xf numFmtId="2" fontId="24" fillId="0" borderId="95" xfId="0" applyNumberFormat="1" applyFont="1" applyBorder="1" applyAlignment="1">
      <alignment horizontal="center" vertical="center"/>
    </xf>
    <xf numFmtId="0" fontId="24" fillId="0" borderId="95" xfId="0" applyFont="1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2" fontId="24" fillId="0" borderId="68" xfId="0" applyNumberFormat="1" applyFont="1" applyBorder="1" applyAlignment="1">
      <alignment horizontal="center" vertical="center"/>
    </xf>
    <xf numFmtId="0" fontId="23" fillId="9" borderId="53" xfId="0" applyFont="1" applyFill="1" applyBorder="1" applyAlignment="1">
      <alignment horizontal="center" vertical="center"/>
    </xf>
    <xf numFmtId="2" fontId="26" fillId="3" borderId="15" xfId="4" applyNumberFormat="1" applyFont="1" applyFill="1" applyBorder="1" applyAlignment="1">
      <alignment vertical="center" wrapText="1"/>
    </xf>
    <xf numFmtId="41" fontId="10" fillId="3" borderId="13" xfId="4" applyFont="1" applyFill="1" applyBorder="1" applyAlignment="1">
      <alignment horizontal="center" vertical="center" wrapText="1"/>
    </xf>
    <xf numFmtId="10" fontId="18" fillId="0" borderId="0" xfId="2" applyNumberFormat="1" applyFont="1" applyAlignment="1">
      <alignment horizontal="left" vertical="center"/>
    </xf>
    <xf numFmtId="41" fontId="0" fillId="0" borderId="0" xfId="1" applyFont="1" applyAlignment="1">
      <alignment horizontal="left" vertical="center"/>
    </xf>
    <xf numFmtId="41" fontId="18" fillId="0" borderId="0" xfId="1" applyFont="1" applyAlignment="1">
      <alignment horizontal="left" vertical="center"/>
    </xf>
    <xf numFmtId="41" fontId="5" fillId="0" borderId="0" xfId="1" applyFont="1" applyAlignment="1">
      <alignment horizontal="left"/>
    </xf>
    <xf numFmtId="0" fontId="18" fillId="0" borderId="0" xfId="0" applyFont="1" applyAlignment="1">
      <alignment horizontal="left" vertical="center"/>
    </xf>
    <xf numFmtId="2" fontId="18" fillId="0" borderId="0" xfId="0" applyNumberFormat="1" applyFont="1" applyAlignment="1">
      <alignment horizontal="left" vertical="center"/>
    </xf>
    <xf numFmtId="0" fontId="18" fillId="0" borderId="7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3" fillId="6" borderId="96" xfId="0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left" vertical="center"/>
    </xf>
    <xf numFmtId="0" fontId="23" fillId="0" borderId="98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20" fontId="23" fillId="0" borderId="94" xfId="0" applyNumberFormat="1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23" fillId="10" borderId="31" xfId="0" applyFont="1" applyFill="1" applyBorder="1" applyAlignment="1">
      <alignment horizontal="center" vertical="center"/>
    </xf>
    <xf numFmtId="180" fontId="18" fillId="0" borderId="0" xfId="0" applyNumberFormat="1" applyFont="1" applyAlignment="1">
      <alignment horizontal="left" vertical="center"/>
    </xf>
    <xf numFmtId="41" fontId="26" fillId="3" borderId="15" xfId="1" applyFont="1" applyFill="1" applyBorder="1" applyAlignment="1">
      <alignment vertical="center" wrapText="1"/>
    </xf>
    <xf numFmtId="0" fontId="5" fillId="0" borderId="0" xfId="3" applyFont="1" applyBorder="1" applyAlignment="1">
      <alignment horizontal="left" vertical="center" wrapText="1"/>
    </xf>
    <xf numFmtId="10" fontId="5" fillId="0" borderId="0" xfId="3" applyNumberFormat="1" applyFont="1" applyAlignment="1">
      <alignment horizontal="left"/>
    </xf>
    <xf numFmtId="0" fontId="10" fillId="3" borderId="100" xfId="3" applyFont="1" applyFill="1" applyBorder="1" applyAlignment="1">
      <alignment horizontal="center" vertical="center"/>
    </xf>
    <xf numFmtId="0" fontId="23" fillId="7" borderId="94" xfId="0" applyFont="1" applyFill="1" applyBorder="1" applyAlignment="1">
      <alignment horizontal="center" vertical="center"/>
    </xf>
    <xf numFmtId="20" fontId="23" fillId="7" borderId="94" xfId="0" applyNumberFormat="1" applyFont="1" applyFill="1" applyBorder="1" applyAlignment="1">
      <alignment horizontal="center" vertical="center"/>
    </xf>
    <xf numFmtId="43" fontId="0" fillId="0" borderId="0" xfId="0" applyNumberFormat="1">
      <alignment vertical="center"/>
    </xf>
    <xf numFmtId="41" fontId="11" fillId="3" borderId="22" xfId="1" applyFont="1" applyFill="1" applyBorder="1" applyAlignment="1">
      <alignment vertical="center"/>
    </xf>
    <xf numFmtId="41" fontId="11" fillId="3" borderId="29" xfId="1" applyFont="1" applyFill="1" applyBorder="1" applyAlignment="1">
      <alignment horizontal="center" vertical="center"/>
    </xf>
    <xf numFmtId="41" fontId="10" fillId="3" borderId="29" xfId="1" applyFont="1" applyFill="1" applyBorder="1" applyAlignment="1">
      <alignment horizontal="center" vertical="center"/>
    </xf>
    <xf numFmtId="41" fontId="13" fillId="0" borderId="23" xfId="4" applyFont="1" applyFill="1" applyBorder="1" applyAlignment="1">
      <alignment horizontal="left" vertical="center"/>
    </xf>
    <xf numFmtId="0" fontId="11" fillId="0" borderId="17" xfId="5" applyFont="1" applyBorder="1" applyAlignment="1">
      <alignment horizontal="left" vertical="center"/>
    </xf>
    <xf numFmtId="41" fontId="11" fillId="3" borderId="33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3" borderId="110" xfId="3" applyFont="1" applyFill="1" applyBorder="1" applyAlignment="1">
      <alignment horizontal="center" vertical="center"/>
    </xf>
    <xf numFmtId="0" fontId="10" fillId="0" borderId="111" xfId="3" applyFont="1" applyBorder="1" applyAlignment="1">
      <alignment horizontal="center" vertical="center"/>
    </xf>
    <xf numFmtId="41" fontId="11" fillId="3" borderId="90" xfId="1" applyFont="1" applyFill="1" applyBorder="1" applyAlignment="1">
      <alignment horizontal="center" vertical="center"/>
    </xf>
    <xf numFmtId="0" fontId="11" fillId="0" borderId="6" xfId="5" applyFont="1" applyBorder="1" applyAlignment="1">
      <alignment horizontal="left" vertical="center" wrapText="1"/>
    </xf>
    <xf numFmtId="0" fontId="10" fillId="0" borderId="110" xfId="3" applyFont="1" applyBorder="1" applyAlignment="1">
      <alignment horizontal="center" vertical="center"/>
    </xf>
    <xf numFmtId="0" fontId="10" fillId="0" borderId="113" xfId="3" applyFont="1" applyBorder="1" applyAlignment="1">
      <alignment horizontal="center" vertical="center"/>
    </xf>
    <xf numFmtId="0" fontId="10" fillId="0" borderId="114" xfId="3" applyFont="1" applyBorder="1" applyAlignment="1">
      <alignment horizontal="center" vertical="center"/>
    </xf>
    <xf numFmtId="0" fontId="10" fillId="0" borderId="115" xfId="3" applyFont="1" applyBorder="1" applyAlignment="1">
      <alignment horizontal="center" vertical="center"/>
    </xf>
    <xf numFmtId="0" fontId="10" fillId="0" borderId="116" xfId="3" applyFont="1" applyBorder="1" applyAlignment="1">
      <alignment horizontal="center" vertical="center"/>
    </xf>
    <xf numFmtId="0" fontId="11" fillId="3" borderId="118" xfId="4" applyNumberFormat="1" applyFont="1" applyFill="1" applyBorder="1" applyAlignment="1">
      <alignment horizontal="left" vertical="center" wrapText="1"/>
    </xf>
    <xf numFmtId="41" fontId="11" fillId="3" borderId="30" xfId="4" applyFont="1" applyFill="1" applyBorder="1" applyAlignment="1">
      <alignment horizontal="left" vertical="center"/>
    </xf>
    <xf numFmtId="41" fontId="11" fillId="0" borderId="120" xfId="4" applyFont="1" applyFill="1" applyBorder="1" applyAlignment="1">
      <alignment horizontal="center" vertical="center"/>
    </xf>
    <xf numFmtId="41" fontId="11" fillId="0" borderId="120" xfId="1" applyFont="1" applyFill="1" applyBorder="1" applyAlignment="1">
      <alignment vertical="center"/>
    </xf>
    <xf numFmtId="178" fontId="10" fillId="3" borderId="29" xfId="4" applyNumberFormat="1" applyFont="1" applyFill="1" applyBorder="1" applyAlignment="1">
      <alignment horizontal="center" vertical="center" wrapText="1"/>
    </xf>
    <xf numFmtId="41" fontId="11" fillId="3" borderId="29" xfId="1" applyFont="1" applyFill="1" applyBorder="1" applyAlignment="1">
      <alignment vertical="center"/>
    </xf>
    <xf numFmtId="41" fontId="11" fillId="0" borderId="41" xfId="1" applyFont="1" applyFill="1" applyBorder="1" applyAlignment="1">
      <alignment horizontal="center" vertical="center"/>
    </xf>
    <xf numFmtId="41" fontId="11" fillId="3" borderId="50" xfId="1" applyFont="1" applyFill="1" applyBorder="1" applyAlignment="1">
      <alignment horizontal="center" vertical="center"/>
    </xf>
    <xf numFmtId="41" fontId="11" fillId="3" borderId="123" xfId="1" applyFont="1" applyFill="1" applyBorder="1" applyAlignment="1">
      <alignment horizontal="center" vertical="center"/>
    </xf>
    <xf numFmtId="41" fontId="11" fillId="3" borderId="124" xfId="1" applyFont="1" applyFill="1" applyBorder="1" applyAlignment="1">
      <alignment horizontal="center" vertical="center"/>
    </xf>
    <xf numFmtId="41" fontId="11" fillId="3" borderId="40" xfId="1" applyFont="1" applyFill="1" applyBorder="1" applyAlignment="1">
      <alignment horizontal="center" vertical="center"/>
    </xf>
    <xf numFmtId="0" fontId="10" fillId="3" borderId="125" xfId="3" applyFont="1" applyFill="1" applyBorder="1" applyAlignment="1">
      <alignment horizontal="center" vertical="center" wrapText="1"/>
    </xf>
    <xf numFmtId="41" fontId="11" fillId="3" borderId="125" xfId="1" applyFont="1" applyFill="1" applyBorder="1" applyAlignment="1">
      <alignment vertical="center"/>
    </xf>
    <xf numFmtId="41" fontId="11" fillId="3" borderId="126" xfId="1" applyFont="1" applyFill="1" applyBorder="1" applyAlignment="1">
      <alignment vertical="center"/>
    </xf>
    <xf numFmtId="41" fontId="11" fillId="3" borderId="127" xfId="1" applyFont="1" applyFill="1" applyBorder="1" applyAlignment="1">
      <alignment vertical="center"/>
    </xf>
    <xf numFmtId="41" fontId="11" fillId="3" borderId="128" xfId="1" applyFont="1" applyFill="1" applyBorder="1" applyAlignment="1">
      <alignment vertical="center"/>
    </xf>
    <xf numFmtId="41" fontId="11" fillId="3" borderId="129" xfId="1" applyFont="1" applyFill="1" applyBorder="1" applyAlignment="1">
      <alignment vertical="center"/>
    </xf>
    <xf numFmtId="41" fontId="11" fillId="0" borderId="130" xfId="1" applyFont="1" applyFill="1" applyBorder="1" applyAlignment="1">
      <alignment vertical="center"/>
    </xf>
    <xf numFmtId="0" fontId="7" fillId="0" borderId="108" xfId="3" applyFont="1" applyBorder="1" applyAlignment="1">
      <alignment horizontal="center" vertical="center"/>
    </xf>
    <xf numFmtId="41" fontId="31" fillId="0" borderId="41" xfId="1" applyFont="1" applyFill="1" applyBorder="1" applyAlignment="1">
      <alignment horizontal="center" vertical="center"/>
    </xf>
    <xf numFmtId="41" fontId="31" fillId="3" borderId="119" xfId="1" applyFont="1" applyFill="1" applyBorder="1" applyAlignment="1">
      <alignment vertical="center"/>
    </xf>
    <xf numFmtId="41" fontId="11" fillId="3" borderId="131" xfId="4" applyFont="1" applyFill="1" applyBorder="1" applyAlignment="1">
      <alignment horizontal="left" vertical="center"/>
    </xf>
    <xf numFmtId="0" fontId="10" fillId="0" borderId="2" xfId="3" applyFont="1" applyBorder="1" applyAlignment="1">
      <alignment horizontal="center" vertical="center"/>
    </xf>
    <xf numFmtId="41" fontId="11" fillId="3" borderId="0" xfId="4" applyFont="1" applyFill="1" applyBorder="1" applyAlignment="1">
      <alignment horizontal="left" vertical="center"/>
    </xf>
    <xf numFmtId="41" fontId="11" fillId="3" borderId="0" xfId="4" applyFont="1" applyFill="1" applyBorder="1" applyAlignment="1">
      <alignment horizontal="left" vertical="center" shrinkToFit="1"/>
    </xf>
    <xf numFmtId="41" fontId="13" fillId="0" borderId="0" xfId="4" applyFont="1" applyFill="1" applyBorder="1" applyAlignment="1">
      <alignment horizontal="left" vertical="center"/>
    </xf>
    <xf numFmtId="41" fontId="13" fillId="4" borderId="0" xfId="4" applyFont="1" applyFill="1" applyBorder="1" applyAlignment="1">
      <alignment horizontal="left" vertical="center"/>
    </xf>
    <xf numFmtId="41" fontId="6" fillId="0" borderId="0" xfId="3" applyNumberFormat="1" applyFont="1" applyBorder="1" applyAlignment="1">
      <alignment horizontal="center" vertical="center"/>
    </xf>
    <xf numFmtId="41" fontId="11" fillId="0" borderId="120" xfId="1" applyFont="1" applyFill="1" applyBorder="1" applyAlignment="1">
      <alignment horizontal="center" vertical="center"/>
    </xf>
    <xf numFmtId="41" fontId="11" fillId="0" borderId="130" xfId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41" fontId="26" fillId="0" borderId="0" xfId="1" applyFont="1" applyFill="1" applyBorder="1" applyAlignment="1">
      <alignment vertical="center" wrapText="1"/>
    </xf>
    <xf numFmtId="0" fontId="11" fillId="0" borderId="0" xfId="4" applyNumberFormat="1" applyFont="1" applyFill="1" applyBorder="1" applyAlignment="1">
      <alignment vertical="center"/>
    </xf>
    <xf numFmtId="41" fontId="12" fillId="0" borderId="0" xfId="4" applyFont="1" applyFill="1" applyBorder="1" applyAlignment="1">
      <alignment horizontal="left" vertical="center"/>
    </xf>
    <xf numFmtId="0" fontId="11" fillId="0" borderId="0" xfId="4" applyNumberFormat="1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left" vertical="center"/>
    </xf>
    <xf numFmtId="0" fontId="11" fillId="0" borderId="0" xfId="4" applyNumberFormat="1" applyFont="1" applyFill="1" applyBorder="1" applyAlignment="1">
      <alignment horizontal="left" vertical="center" wrapText="1"/>
    </xf>
    <xf numFmtId="41" fontId="11" fillId="0" borderId="0" xfId="4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7" fillId="11" borderId="4" xfId="3" applyFont="1" applyFill="1" applyBorder="1" applyAlignment="1">
      <alignment horizontal="center" vertical="center" wrapText="1"/>
    </xf>
    <xf numFmtId="0" fontId="7" fillId="11" borderId="2" xfId="3" applyFont="1" applyFill="1" applyBorder="1" applyAlignment="1">
      <alignment horizontal="center" vertical="center" wrapText="1"/>
    </xf>
    <xf numFmtId="0" fontId="7" fillId="11" borderId="5" xfId="3" applyFont="1" applyFill="1" applyBorder="1" applyAlignment="1">
      <alignment horizontal="center" vertical="center" wrapText="1"/>
    </xf>
    <xf numFmtId="0" fontId="7" fillId="11" borderId="6" xfId="3" applyFont="1" applyFill="1" applyBorder="1" applyAlignment="1">
      <alignment horizontal="center" vertical="center" wrapText="1"/>
    </xf>
    <xf numFmtId="41" fontId="10" fillId="11" borderId="14" xfId="3" applyNumberFormat="1" applyFont="1" applyFill="1" applyBorder="1" applyAlignment="1">
      <alignment horizontal="center" vertical="center" wrapText="1"/>
    </xf>
    <xf numFmtId="41" fontId="11" fillId="11" borderId="14" xfId="1" applyFont="1" applyFill="1" applyBorder="1" applyAlignment="1">
      <alignment vertical="center"/>
    </xf>
    <xf numFmtId="41" fontId="11" fillId="11" borderId="22" xfId="1" applyFont="1" applyFill="1" applyBorder="1" applyAlignment="1">
      <alignment vertical="center"/>
    </xf>
    <xf numFmtId="41" fontId="31" fillId="11" borderId="22" xfId="1" applyFont="1" applyFill="1" applyBorder="1" applyAlignment="1">
      <alignment vertical="center"/>
    </xf>
    <xf numFmtId="41" fontId="11" fillId="11" borderId="112" xfId="1" applyFont="1" applyFill="1" applyBorder="1" applyAlignment="1">
      <alignment vertical="center"/>
    </xf>
    <xf numFmtId="41" fontId="11" fillId="11" borderId="107" xfId="1" applyFont="1" applyFill="1" applyBorder="1" applyAlignment="1">
      <alignment vertical="center"/>
    </xf>
    <xf numFmtId="41" fontId="11" fillId="11" borderId="33" xfId="1" applyFont="1" applyFill="1" applyBorder="1" applyAlignment="1">
      <alignment vertical="center"/>
    </xf>
    <xf numFmtId="41" fontId="11" fillId="11" borderId="117" xfId="1" applyFont="1" applyFill="1" applyBorder="1" applyAlignment="1">
      <alignment vertical="center"/>
    </xf>
    <xf numFmtId="41" fontId="11" fillId="11" borderId="122" xfId="1" applyFont="1" applyFill="1" applyBorder="1" applyAlignment="1">
      <alignment vertical="center"/>
    </xf>
    <xf numFmtId="41" fontId="11" fillId="11" borderId="132" xfId="1" applyFont="1" applyFill="1" applyBorder="1" applyAlignment="1">
      <alignment vertical="center"/>
    </xf>
    <xf numFmtId="41" fontId="13" fillId="11" borderId="22" xfId="1" applyFont="1" applyFill="1" applyBorder="1" applyAlignment="1">
      <alignment vertical="center"/>
    </xf>
    <xf numFmtId="41" fontId="14" fillId="11" borderId="133" xfId="1" applyFont="1" applyFill="1" applyBorder="1" applyAlignment="1">
      <alignment vertical="center"/>
    </xf>
    <xf numFmtId="41" fontId="13" fillId="11" borderId="132" xfId="1" applyFont="1" applyFill="1" applyBorder="1" applyAlignment="1">
      <alignment vertical="center"/>
    </xf>
    <xf numFmtId="41" fontId="11" fillId="11" borderId="109" xfId="1" applyFont="1" applyFill="1" applyBorder="1" applyAlignment="1">
      <alignment vertical="center"/>
    </xf>
    <xf numFmtId="41" fontId="13" fillId="11" borderId="22" xfId="4" applyFont="1" applyFill="1" applyBorder="1" applyAlignment="1">
      <alignment vertical="center"/>
    </xf>
    <xf numFmtId="41" fontId="13" fillId="11" borderId="23" xfId="4" applyFont="1" applyFill="1" applyBorder="1" applyAlignment="1">
      <alignment horizontal="left" vertical="center"/>
    </xf>
    <xf numFmtId="41" fontId="13" fillId="0" borderId="22" xfId="4" applyFont="1" applyFill="1" applyBorder="1" applyAlignment="1">
      <alignment vertical="center"/>
    </xf>
    <xf numFmtId="41" fontId="11" fillId="0" borderId="135" xfId="1" applyFont="1" applyFill="1" applyBorder="1" applyAlignment="1">
      <alignment vertical="center"/>
    </xf>
    <xf numFmtId="41" fontId="11" fillId="0" borderId="136" xfId="1" applyFont="1" applyFill="1" applyBorder="1" applyAlignment="1">
      <alignment vertical="center"/>
    </xf>
    <xf numFmtId="41" fontId="11" fillId="3" borderId="137" xfId="4" applyFont="1" applyFill="1" applyBorder="1" applyAlignment="1">
      <alignment horizontal="left" vertical="center" shrinkToFit="1"/>
    </xf>
    <xf numFmtId="41" fontId="13" fillId="0" borderId="139" xfId="4" applyFont="1" applyFill="1" applyBorder="1" applyAlignment="1">
      <alignment horizontal="center" vertical="center"/>
    </xf>
    <xf numFmtId="41" fontId="15" fillId="0" borderId="140" xfId="4" applyFont="1" applyFill="1" applyBorder="1" applyAlignment="1">
      <alignment vertical="center"/>
    </xf>
    <xf numFmtId="41" fontId="13" fillId="4" borderId="141" xfId="4" applyFont="1" applyFill="1" applyBorder="1" applyAlignment="1">
      <alignment horizontal="left" vertical="center"/>
    </xf>
    <xf numFmtId="41" fontId="13" fillId="0" borderId="106" xfId="1" applyFont="1" applyFill="1" applyBorder="1" applyAlignment="1">
      <alignment vertical="center"/>
    </xf>
    <xf numFmtId="41" fontId="13" fillId="0" borderId="22" xfId="1" applyFont="1" applyFill="1" applyBorder="1" applyAlignment="1">
      <alignment vertical="center"/>
    </xf>
    <xf numFmtId="41" fontId="13" fillId="0" borderId="135" xfId="4" applyFont="1" applyFill="1" applyBorder="1" applyAlignment="1">
      <alignment horizontal="center" vertical="center"/>
    </xf>
    <xf numFmtId="41" fontId="13" fillId="0" borderId="136" xfId="4" applyFont="1" applyFill="1" applyBorder="1" applyAlignment="1">
      <alignment vertical="center"/>
    </xf>
    <xf numFmtId="41" fontId="13" fillId="11" borderId="41" xfId="4" applyFont="1" applyFill="1" applyBorder="1" applyAlignment="1">
      <alignment horizontal="center" vertical="center"/>
    </xf>
    <xf numFmtId="41" fontId="13" fillId="11" borderId="119" xfId="4" applyFont="1" applyFill="1" applyBorder="1" applyAlignment="1">
      <alignment vertical="center"/>
    </xf>
    <xf numFmtId="41" fontId="7" fillId="0" borderId="137" xfId="4" applyFont="1" applyFill="1" applyBorder="1" applyAlignment="1">
      <alignment horizontal="left" vertical="center"/>
    </xf>
    <xf numFmtId="41" fontId="7" fillId="11" borderId="23" xfId="4" applyFont="1" applyFill="1" applyBorder="1" applyAlignment="1">
      <alignment horizontal="left" vertical="center"/>
    </xf>
    <xf numFmtId="0" fontId="10" fillId="3" borderId="31" xfId="3" applyFont="1" applyFill="1" applyBorder="1" applyAlignment="1">
      <alignment horizontal="center" vertical="center"/>
    </xf>
    <xf numFmtId="0" fontId="10" fillId="4" borderId="31" xfId="3" applyFont="1" applyFill="1" applyBorder="1" applyAlignment="1">
      <alignment horizontal="center" vertical="center"/>
    </xf>
    <xf numFmtId="41" fontId="11" fillId="3" borderId="50" xfId="1" applyFont="1" applyFill="1" applyBorder="1" applyAlignment="1">
      <alignment vertical="center"/>
    </xf>
    <xf numFmtId="41" fontId="10" fillId="11" borderId="9" xfId="3" applyNumberFormat="1" applyFont="1" applyFill="1" applyBorder="1" applyAlignment="1">
      <alignment horizontal="center" vertical="center" wrapText="1"/>
    </xf>
    <xf numFmtId="41" fontId="10" fillId="11" borderId="33" xfId="3" applyNumberFormat="1" applyFont="1" applyFill="1" applyBorder="1" applyAlignment="1">
      <alignment horizontal="center" vertical="center" wrapText="1"/>
    </xf>
    <xf numFmtId="41" fontId="7" fillId="11" borderId="33" xfId="1" applyFont="1" applyFill="1" applyBorder="1" applyAlignment="1">
      <alignment vertical="center"/>
    </xf>
    <xf numFmtId="0" fontId="7" fillId="11" borderId="143" xfId="3" applyFont="1" applyFill="1" applyBorder="1" applyAlignment="1">
      <alignment horizontal="center" vertical="center" wrapText="1"/>
    </xf>
    <xf numFmtId="41" fontId="10" fillId="0" borderId="142" xfId="4" applyFont="1" applyFill="1" applyBorder="1" applyAlignment="1">
      <alignment horizontal="center" vertical="center" wrapText="1"/>
    </xf>
    <xf numFmtId="178" fontId="10" fillId="3" borderId="50" xfId="4" applyNumberFormat="1" applyFont="1" applyFill="1" applyBorder="1" applyAlignment="1">
      <alignment horizontal="center" vertical="center" wrapText="1"/>
    </xf>
    <xf numFmtId="41" fontId="7" fillId="4" borderId="50" xfId="1" applyFont="1" applyFill="1" applyBorder="1" applyAlignment="1">
      <alignment horizontal="center" vertical="center"/>
    </xf>
    <xf numFmtId="41" fontId="11" fillId="3" borderId="120" xfId="1" applyFont="1" applyFill="1" applyBorder="1" applyAlignment="1">
      <alignment horizontal="center" vertical="center"/>
    </xf>
    <xf numFmtId="41" fontId="10" fillId="3" borderId="120" xfId="1" applyFont="1" applyFill="1" applyBorder="1" applyAlignment="1">
      <alignment horizontal="center" vertical="center"/>
    </xf>
    <xf numFmtId="41" fontId="13" fillId="0" borderId="41" xfId="4" applyFont="1" applyFill="1" applyBorder="1" applyAlignment="1">
      <alignment horizontal="center" vertical="center"/>
    </xf>
    <xf numFmtId="0" fontId="10" fillId="3" borderId="33" xfId="3" applyFont="1" applyFill="1" applyBorder="1" applyAlignment="1">
      <alignment horizontal="center" vertical="center" wrapText="1"/>
    </xf>
    <xf numFmtId="41" fontId="7" fillId="4" borderId="33" xfId="1" applyFont="1" applyFill="1" applyBorder="1" applyAlignment="1">
      <alignment vertical="center"/>
    </xf>
    <xf numFmtId="41" fontId="11" fillId="3" borderId="122" xfId="1" applyFont="1" applyFill="1" applyBorder="1" applyAlignment="1">
      <alignment vertical="center"/>
    </xf>
    <xf numFmtId="41" fontId="11" fillId="3" borderId="144" xfId="1" applyFont="1" applyFill="1" applyBorder="1" applyAlignment="1">
      <alignment vertical="center"/>
    </xf>
    <xf numFmtId="41" fontId="11" fillId="11" borderId="144" xfId="1" applyFont="1" applyFill="1" applyBorder="1" applyAlignment="1">
      <alignment vertical="center"/>
    </xf>
    <xf numFmtId="0" fontId="10" fillId="0" borderId="58" xfId="3" applyFont="1" applyBorder="1" applyAlignment="1">
      <alignment horizontal="center" vertical="center"/>
    </xf>
    <xf numFmtId="41" fontId="11" fillId="3" borderId="145" xfId="1" applyFont="1" applyFill="1" applyBorder="1" applyAlignment="1">
      <alignment horizontal="center" vertical="center"/>
    </xf>
    <xf numFmtId="41" fontId="11" fillId="3" borderId="146" xfId="1" applyFont="1" applyFill="1" applyBorder="1" applyAlignment="1">
      <alignment vertical="center"/>
    </xf>
    <xf numFmtId="41" fontId="11" fillId="11" borderId="146" xfId="1" applyFont="1" applyFill="1" applyBorder="1" applyAlignment="1">
      <alignment vertical="center"/>
    </xf>
    <xf numFmtId="0" fontId="11" fillId="4" borderId="25" xfId="3" applyFont="1" applyFill="1" applyBorder="1" applyAlignment="1">
      <alignment horizontal="center" vertical="center"/>
    </xf>
    <xf numFmtId="41" fontId="11" fillId="4" borderId="123" xfId="1" applyFont="1" applyFill="1" applyBorder="1" applyAlignment="1">
      <alignment horizontal="center" vertical="center"/>
    </xf>
    <xf numFmtId="0" fontId="10" fillId="3" borderId="148" xfId="3" applyFont="1" applyFill="1" applyBorder="1" applyAlignment="1">
      <alignment horizontal="center" vertical="center"/>
    </xf>
    <xf numFmtId="41" fontId="11" fillId="3" borderId="40" xfId="1" applyFont="1" applyFill="1" applyBorder="1" applyAlignment="1">
      <alignment vertical="center"/>
    </xf>
    <xf numFmtId="0" fontId="11" fillId="3" borderId="30" xfId="4" applyNumberFormat="1" applyFont="1" applyFill="1" applyBorder="1" applyAlignment="1">
      <alignment vertical="center"/>
    </xf>
    <xf numFmtId="0" fontId="11" fillId="4" borderId="149" xfId="3" applyFont="1" applyFill="1" applyBorder="1" applyAlignment="1">
      <alignment horizontal="center" vertical="center"/>
    </xf>
    <xf numFmtId="41" fontId="11" fillId="4" borderId="101" xfId="1" applyFont="1" applyFill="1" applyBorder="1" applyAlignment="1">
      <alignment horizontal="center" vertical="center"/>
    </xf>
    <xf numFmtId="41" fontId="11" fillId="3" borderId="150" xfId="1" applyFont="1" applyFill="1" applyBorder="1" applyAlignment="1">
      <alignment vertical="center"/>
    </xf>
    <xf numFmtId="0" fontId="11" fillId="3" borderId="47" xfId="4" applyNumberFormat="1" applyFont="1" applyFill="1" applyBorder="1" applyAlignment="1">
      <alignment horizontal="left" vertical="center"/>
    </xf>
    <xf numFmtId="41" fontId="7" fillId="4" borderId="151" xfId="1" applyFont="1" applyFill="1" applyBorder="1" applyAlignment="1">
      <alignment horizontal="center" vertical="center"/>
    </xf>
    <xf numFmtId="41" fontId="7" fillId="4" borderId="147" xfId="1" applyFont="1" applyFill="1" applyBorder="1" applyAlignment="1">
      <alignment vertical="center"/>
    </xf>
    <xf numFmtId="41" fontId="7" fillId="11" borderId="152" xfId="1" applyFont="1" applyFill="1" applyBorder="1" applyAlignment="1">
      <alignment vertical="center"/>
    </xf>
    <xf numFmtId="41" fontId="12" fillId="4" borderId="153" xfId="4" applyFont="1" applyFill="1" applyBorder="1" applyAlignment="1">
      <alignment horizontal="left" vertical="center"/>
    </xf>
    <xf numFmtId="0" fontId="10" fillId="4" borderId="154" xfId="3" applyFont="1" applyFill="1" applyBorder="1" applyAlignment="1">
      <alignment horizontal="center" vertical="center"/>
    </xf>
    <xf numFmtId="0" fontId="10" fillId="3" borderId="121" xfId="3" applyFont="1" applyFill="1" applyBorder="1" applyAlignment="1">
      <alignment horizontal="center" vertical="center"/>
    </xf>
    <xf numFmtId="41" fontId="11" fillId="3" borderId="122" xfId="4" applyFont="1" applyFill="1" applyBorder="1" applyAlignment="1">
      <alignment vertical="center"/>
    </xf>
    <xf numFmtId="41" fontId="11" fillId="3" borderId="120" xfId="4" applyFont="1" applyFill="1" applyBorder="1" applyAlignment="1">
      <alignment horizontal="center" vertical="center"/>
    </xf>
    <xf numFmtId="41" fontId="11" fillId="3" borderId="135" xfId="4" applyFont="1" applyFill="1" applyBorder="1" applyAlignment="1">
      <alignment horizontal="center" vertical="center"/>
    </xf>
    <xf numFmtId="41" fontId="11" fillId="3" borderId="132" xfId="4" applyFont="1" applyFill="1" applyBorder="1" applyAlignment="1">
      <alignment horizontal="center" vertical="center"/>
    </xf>
    <xf numFmtId="41" fontId="13" fillId="0" borderId="0" xfId="4" applyFont="1" applyFill="1" applyBorder="1" applyAlignment="1">
      <alignment horizontal="center" vertical="center"/>
    </xf>
    <xf numFmtId="41" fontId="15" fillId="3" borderId="107" xfId="4" applyFont="1" applyFill="1" applyBorder="1" applyAlignment="1">
      <alignment vertical="center"/>
    </xf>
    <xf numFmtId="41" fontId="13" fillId="11" borderId="107" xfId="1" applyFont="1" applyFill="1" applyBorder="1" applyAlignment="1">
      <alignment vertical="center"/>
    </xf>
    <xf numFmtId="41" fontId="13" fillId="4" borderId="30" xfId="4" applyFont="1" applyFill="1" applyBorder="1" applyAlignment="1">
      <alignment horizontal="left" vertical="center"/>
    </xf>
    <xf numFmtId="0" fontId="23" fillId="8" borderId="8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/>
    </xf>
    <xf numFmtId="41" fontId="12" fillId="4" borderId="15" xfId="4" applyFont="1" applyFill="1" applyBorder="1" applyAlignment="1">
      <alignment horizontal="left" vertical="center"/>
    </xf>
    <xf numFmtId="0" fontId="11" fillId="3" borderId="17" xfId="4" applyNumberFormat="1" applyFont="1" applyFill="1" applyBorder="1" applyAlignment="1">
      <alignment horizontal="left" vertical="center"/>
    </xf>
    <xf numFmtId="0" fontId="11" fillId="0" borderId="156" xfId="5" applyFont="1" applyBorder="1" applyAlignment="1">
      <alignment horizontal="left" vertical="center" wrapText="1"/>
    </xf>
    <xf numFmtId="0" fontId="11" fillId="0" borderId="131" xfId="5" applyFont="1" applyBorder="1" applyAlignment="1">
      <alignment horizontal="left" vertical="center"/>
    </xf>
    <xf numFmtId="0" fontId="11" fillId="0" borderId="131" xfId="5" applyFont="1" applyBorder="1" applyAlignment="1">
      <alignment horizontal="left" vertical="center" wrapText="1"/>
    </xf>
    <xf numFmtId="0" fontId="11" fillId="3" borderId="131" xfId="4" applyNumberFormat="1" applyFont="1" applyFill="1" applyBorder="1" applyAlignment="1">
      <alignment horizontal="left" vertical="center" wrapText="1"/>
    </xf>
    <xf numFmtId="41" fontId="6" fillId="0" borderId="42" xfId="3" applyNumberFormat="1" applyFont="1" applyBorder="1" applyAlignment="1">
      <alignment horizontal="center" vertical="center"/>
    </xf>
    <xf numFmtId="41" fontId="6" fillId="0" borderId="43" xfId="3" applyNumberFormat="1" applyFont="1" applyBorder="1" applyAlignment="1">
      <alignment horizontal="center" vertical="center"/>
    </xf>
    <xf numFmtId="41" fontId="6" fillId="0" borderId="23" xfId="3" applyNumberFormat="1" applyFont="1" applyBorder="1" applyAlignment="1">
      <alignment horizontal="center" vertical="center"/>
    </xf>
    <xf numFmtId="0" fontId="10" fillId="3" borderId="60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11" borderId="2" xfId="3" applyFont="1" applyFill="1" applyBorder="1" applyAlignment="1">
      <alignment horizontal="center" vertical="center"/>
    </xf>
    <xf numFmtId="0" fontId="7" fillId="11" borderId="3" xfId="3" applyFont="1" applyFill="1" applyBorder="1" applyAlignment="1">
      <alignment horizontal="center" vertical="center"/>
    </xf>
    <xf numFmtId="0" fontId="10" fillId="3" borderId="99" xfId="3" applyFont="1" applyFill="1" applyBorder="1" applyAlignment="1">
      <alignment horizontal="center" vertical="center" wrapText="1"/>
    </xf>
    <xf numFmtId="0" fontId="10" fillId="3" borderId="27" xfId="3" applyFont="1" applyFill="1" applyBorder="1" applyAlignment="1">
      <alignment horizontal="center" vertical="center" wrapText="1"/>
    </xf>
    <xf numFmtId="0" fontId="10" fillId="3" borderId="45" xfId="3" applyFont="1" applyFill="1" applyBorder="1" applyAlignment="1">
      <alignment horizontal="center" vertical="center" wrapText="1"/>
    </xf>
    <xf numFmtId="0" fontId="10" fillId="0" borderId="60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3" borderId="134" xfId="3" applyFont="1" applyFill="1" applyBorder="1" applyAlignment="1">
      <alignment horizontal="center" vertical="center"/>
    </xf>
    <xf numFmtId="0" fontId="10" fillId="3" borderId="35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/>
    </xf>
    <xf numFmtId="0" fontId="14" fillId="0" borderId="138" xfId="3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horizontal="center" vertical="center"/>
    </xf>
    <xf numFmtId="0" fontId="13" fillId="11" borderId="38" xfId="3" applyFont="1" applyFill="1" applyBorder="1" applyAlignment="1">
      <alignment horizontal="center" vertical="center"/>
    </xf>
    <xf numFmtId="0" fontId="13" fillId="11" borderId="21" xfId="3" applyFont="1" applyFill="1" applyBorder="1" applyAlignment="1">
      <alignment horizontal="center" vertical="center"/>
    </xf>
    <xf numFmtId="0" fontId="13" fillId="0" borderId="134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/>
    </xf>
    <xf numFmtId="0" fontId="5" fillId="0" borderId="0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10" fillId="3" borderId="155" xfId="3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  <xf numFmtId="0" fontId="23" fillId="8" borderId="39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/>
    </xf>
    <xf numFmtId="0" fontId="23" fillId="8" borderId="87" xfId="0" applyFont="1" applyFill="1" applyBorder="1" applyAlignment="1">
      <alignment horizontal="center" vertical="center"/>
    </xf>
    <xf numFmtId="0" fontId="23" fillId="0" borderId="103" xfId="0" applyFont="1" applyFill="1" applyBorder="1" applyAlignment="1">
      <alignment horizontal="center" vertical="center" wrapText="1"/>
    </xf>
    <xf numFmtId="0" fontId="23" fillId="0" borderId="104" xfId="0" applyFont="1" applyFill="1" applyBorder="1" applyAlignment="1">
      <alignment horizontal="center" vertical="center"/>
    </xf>
    <xf numFmtId="0" fontId="23" fillId="0" borderId="105" xfId="0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10" fillId="3" borderId="38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3" fillId="2" borderId="38" xfId="3" applyFont="1" applyFill="1" applyBorder="1" applyAlignment="1">
      <alignment horizontal="center" vertical="center"/>
    </xf>
    <xf numFmtId="0" fontId="13" fillId="2" borderId="21" xfId="3" applyFont="1" applyFill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/>
    </xf>
    <xf numFmtId="41" fontId="6" fillId="0" borderId="44" xfId="3" applyNumberFormat="1" applyFont="1" applyBorder="1" applyAlignment="1">
      <alignment horizontal="right" vertical="center"/>
    </xf>
    <xf numFmtId="41" fontId="6" fillId="0" borderId="45" xfId="3" applyNumberFormat="1" applyFont="1" applyBorder="1" applyAlignment="1">
      <alignment horizontal="right" vertical="center"/>
    </xf>
    <xf numFmtId="41" fontId="6" fillId="0" borderId="46" xfId="3" applyNumberFormat="1" applyFont="1" applyBorder="1" applyAlignment="1">
      <alignment horizontal="right" vertical="center"/>
    </xf>
    <xf numFmtId="0" fontId="10" fillId="3" borderId="11" xfId="3" applyFont="1" applyFill="1" applyBorder="1" applyAlignment="1">
      <alignment horizontal="center" vertical="center"/>
    </xf>
    <xf numFmtId="0" fontId="10" fillId="3" borderId="39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5" fillId="0" borderId="27" xfId="3" applyFont="1" applyBorder="1" applyAlignment="1">
      <alignment horizontal="left" vertical="center" wrapText="1"/>
    </xf>
    <xf numFmtId="0" fontId="10" fillId="3" borderId="7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23" fillId="7" borderId="73" xfId="0" applyFont="1" applyFill="1" applyBorder="1" applyAlignment="1">
      <alignment horizontal="center" vertical="center"/>
    </xf>
    <xf numFmtId="0" fontId="30" fillId="8" borderId="35" xfId="0" applyFont="1" applyFill="1" applyBorder="1" applyAlignment="1">
      <alignment horizontal="center" vertical="center"/>
    </xf>
    <xf numFmtId="0" fontId="30" fillId="8" borderId="53" xfId="0" applyFont="1" applyFill="1" applyBorder="1" applyAlignment="1">
      <alignment horizontal="center" vertical="center"/>
    </xf>
    <xf numFmtId="0" fontId="30" fillId="7" borderId="39" xfId="0" applyFont="1" applyFill="1" applyBorder="1" applyAlignment="1">
      <alignment horizontal="center" vertical="center"/>
    </xf>
    <xf numFmtId="0" fontId="30" fillId="7" borderId="87" xfId="0" applyFont="1" applyFill="1" applyBorder="1" applyAlignment="1">
      <alignment horizontal="center" vertical="center"/>
    </xf>
    <xf numFmtId="0" fontId="23" fillId="7" borderId="97" xfId="0" applyFont="1" applyFill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/>
    </xf>
    <xf numFmtId="0" fontId="23" fillId="0" borderId="75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8" borderId="35" xfId="0" applyFont="1" applyFill="1" applyBorder="1" applyAlignment="1">
      <alignment horizontal="center" vertical="center"/>
    </xf>
    <xf numFmtId="0" fontId="23" fillId="8" borderId="53" xfId="0" applyFont="1" applyFill="1" applyBorder="1" applyAlignment="1">
      <alignment horizontal="center" vertical="center"/>
    </xf>
    <xf numFmtId="0" fontId="23" fillId="8" borderId="54" xfId="0" applyFont="1" applyFill="1" applyBorder="1" applyAlignment="1">
      <alignment horizontal="center" vertical="center"/>
    </xf>
    <xf numFmtId="0" fontId="23" fillId="8" borderId="56" xfId="0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3" fillId="7" borderId="56" xfId="0" applyFont="1" applyFill="1" applyBorder="1" applyAlignment="1">
      <alignment horizontal="center" vertical="center"/>
    </xf>
    <xf numFmtId="0" fontId="23" fillId="7" borderId="3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0" fontId="23" fillId="9" borderId="39" xfId="0" applyFont="1" applyFill="1" applyBorder="1" applyAlignment="1">
      <alignment horizontal="center" vertical="center"/>
    </xf>
    <xf numFmtId="0" fontId="23" fillId="9" borderId="87" xfId="0" applyFont="1" applyFill="1" applyBorder="1" applyAlignment="1">
      <alignment horizontal="center" vertical="center"/>
    </xf>
    <xf numFmtId="0" fontId="23" fillId="7" borderId="8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wrapText="1"/>
    </xf>
    <xf numFmtId="0" fontId="23" fillId="8" borderId="55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0" fillId="9" borderId="48" xfId="0" applyFill="1" applyBorder="1" applyAlignment="1">
      <alignment horizontal="center" vertical="center"/>
    </xf>
    <xf numFmtId="0" fontId="0" fillId="9" borderId="49" xfId="0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0" fillId="9" borderId="67" xfId="0" applyFill="1" applyBorder="1" applyAlignment="1">
      <alignment horizontal="center" vertical="center"/>
    </xf>
    <xf numFmtId="0" fontId="0" fillId="9" borderId="63" xfId="0" applyFill="1" applyBorder="1" applyAlignment="1">
      <alignment horizontal="center" vertical="center"/>
    </xf>
    <xf numFmtId="0" fontId="0" fillId="9" borderId="68" xfId="0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9" borderId="65" xfId="0" applyFill="1" applyBorder="1" applyAlignment="1">
      <alignment horizontal="center" vertical="center"/>
    </xf>
    <xf numFmtId="0" fontId="3" fillId="6" borderId="57" xfId="0" applyFont="1" applyFill="1" applyBorder="1" applyAlignment="1">
      <alignment horizontal="center" vertical="center"/>
    </xf>
    <xf numFmtId="0" fontId="3" fillId="6" borderId="78" xfId="0" applyFont="1" applyFill="1" applyBorder="1" applyAlignment="1">
      <alignment horizontal="center" vertical="center"/>
    </xf>
    <xf numFmtId="0" fontId="3" fillId="6" borderId="58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30" fillId="8" borderId="54" xfId="0" applyFont="1" applyFill="1" applyBorder="1" applyAlignment="1">
      <alignment horizontal="center" vertical="center"/>
    </xf>
    <xf numFmtId="0" fontId="30" fillId="8" borderId="55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0" fontId="30" fillId="7" borderId="54" xfId="0" applyFont="1" applyFill="1" applyBorder="1" applyAlignment="1">
      <alignment horizontal="center" vertical="center"/>
    </xf>
    <xf numFmtId="0" fontId="30" fillId="7" borderId="73" xfId="0" applyFont="1" applyFill="1" applyBorder="1" applyAlignment="1">
      <alignment horizontal="center" vertical="center"/>
    </xf>
    <xf numFmtId="41" fontId="10" fillId="0" borderId="29" xfId="4" applyFont="1" applyFill="1" applyBorder="1" applyAlignment="1">
      <alignment horizontal="center" vertical="center" wrapText="1"/>
    </xf>
    <xf numFmtId="0" fontId="10" fillId="3" borderId="16" xfId="3" applyFont="1" applyFill="1" applyBorder="1" applyAlignment="1">
      <alignment horizontal="center" vertical="center" wrapText="1"/>
    </xf>
    <xf numFmtId="0" fontId="7" fillId="11" borderId="158" xfId="3" applyFont="1" applyFill="1" applyBorder="1" applyAlignment="1">
      <alignment horizontal="center" vertical="center"/>
    </xf>
    <xf numFmtId="0" fontId="7" fillId="11" borderId="159" xfId="3" applyFont="1" applyFill="1" applyBorder="1" applyAlignment="1">
      <alignment horizontal="center" vertical="center"/>
    </xf>
    <xf numFmtId="0" fontId="7" fillId="11" borderId="160" xfId="3" applyFont="1" applyFill="1" applyBorder="1" applyAlignment="1">
      <alignment horizontal="center" vertical="center" wrapText="1"/>
    </xf>
    <xf numFmtId="0" fontId="32" fillId="11" borderId="158" xfId="3" applyFont="1" applyFill="1" applyBorder="1" applyAlignment="1">
      <alignment horizontal="center" vertical="center" wrapText="1"/>
    </xf>
    <xf numFmtId="0" fontId="32" fillId="11" borderId="157" xfId="3" applyFont="1" applyFill="1" applyBorder="1" applyAlignment="1">
      <alignment horizontal="center" vertical="center" wrapText="1"/>
    </xf>
    <xf numFmtId="0" fontId="7" fillId="11" borderId="161" xfId="3" applyFont="1" applyFill="1" applyBorder="1" applyAlignment="1">
      <alignment horizontal="center" vertical="center" wrapText="1"/>
    </xf>
    <xf numFmtId="0" fontId="7" fillId="11" borderId="162" xfId="3" applyFont="1" applyFill="1" applyBorder="1" applyAlignment="1">
      <alignment horizontal="center" vertical="center" wrapText="1"/>
    </xf>
  </cellXfs>
  <cellStyles count="6">
    <cellStyle name="백분율" xfId="2" builtinId="5"/>
    <cellStyle name="쉼표 [0]" xfId="1" builtinId="6"/>
    <cellStyle name="쉼표 [0] 2" xfId="4"/>
    <cellStyle name="표준" xfId="0" builtinId="0"/>
    <cellStyle name="표준 2" xfId="3"/>
    <cellStyle name="표준 2 2" xfId="5"/>
  </cellStyles>
  <dxfs count="0"/>
  <tableStyles count="0" defaultTableStyle="TableStyleMedium2" defaultPivotStyle="PivotStyleLight16"/>
  <colors>
    <mruColors>
      <color rgb="FFFFCCCC"/>
      <color rgb="FFCCFFCC"/>
      <color rgb="FFFFE7E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7E5CB551-BECD-462F-AE0F-32EF826EF553}"/>
            </a:ext>
          </a:extLst>
        </xdr:cNvPr>
        <xdr:cNvSpPr>
          <a:spLocks noChangeArrowheads="1"/>
        </xdr:cNvSpPr>
      </xdr:nvSpPr>
      <xdr:spPr bwMode="auto">
        <a:xfrm>
          <a:off x="723901" y="13608"/>
          <a:ext cx="2762249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C799BB5D-460C-4FF5-B861-60D4C95135B1}"/>
            </a:ext>
          </a:extLst>
        </xdr:cNvPr>
        <xdr:cNvSpPr>
          <a:spLocks noChangeArrowheads="1"/>
        </xdr:cNvSpPr>
      </xdr:nvSpPr>
      <xdr:spPr bwMode="auto">
        <a:xfrm>
          <a:off x="352428" y="13608"/>
          <a:ext cx="8428893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김홍도미술관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7E5CB551-BECD-462F-AE0F-32EF826EF553}"/>
            </a:ext>
          </a:extLst>
        </xdr:cNvPr>
        <xdr:cNvSpPr>
          <a:spLocks noChangeArrowheads="1"/>
        </xdr:cNvSpPr>
      </xdr:nvSpPr>
      <xdr:spPr bwMode="auto">
        <a:xfrm>
          <a:off x="723901" y="13608"/>
          <a:ext cx="2762249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C799BB5D-460C-4FF5-B861-60D4C95135B1}"/>
            </a:ext>
          </a:extLst>
        </xdr:cNvPr>
        <xdr:cNvSpPr>
          <a:spLocks noChangeArrowheads="1"/>
        </xdr:cNvSpPr>
      </xdr:nvSpPr>
      <xdr:spPr bwMode="auto">
        <a:xfrm>
          <a:off x="352428" y="13608"/>
          <a:ext cx="8428893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김홍도미술관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0CE0EFF-52E2-4603-8CCF-E2012B5628FC}"/>
            </a:ext>
          </a:extLst>
        </xdr:cNvPr>
        <xdr:cNvSpPr>
          <a:spLocks noChangeArrowheads="1"/>
        </xdr:cNvSpPr>
      </xdr:nvSpPr>
      <xdr:spPr bwMode="auto">
        <a:xfrm>
          <a:off x="723901" y="13608"/>
          <a:ext cx="2762249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B2B188C7-F9B4-4929-8F13-64F4102FECB5}"/>
            </a:ext>
          </a:extLst>
        </xdr:cNvPr>
        <xdr:cNvSpPr>
          <a:spLocks noChangeArrowheads="1"/>
        </xdr:cNvSpPr>
      </xdr:nvSpPr>
      <xdr:spPr bwMode="auto">
        <a:xfrm>
          <a:off x="352428" y="13608"/>
          <a:ext cx="8428893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B103565-BF49-432F-AA7C-2C55D7B19500}"/>
            </a:ext>
          </a:extLst>
        </xdr:cNvPr>
        <xdr:cNvSpPr>
          <a:spLocks noChangeArrowheads="1"/>
        </xdr:cNvSpPr>
      </xdr:nvSpPr>
      <xdr:spPr bwMode="auto">
        <a:xfrm>
          <a:off x="723901" y="13608"/>
          <a:ext cx="2762249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806596E5-59CE-478D-A784-8A044EBDD6DF}"/>
            </a:ext>
          </a:extLst>
        </xdr:cNvPr>
        <xdr:cNvSpPr>
          <a:spLocks noChangeArrowheads="1"/>
        </xdr:cNvSpPr>
      </xdr:nvSpPr>
      <xdr:spPr bwMode="auto">
        <a:xfrm>
          <a:off x="352428" y="13608"/>
          <a:ext cx="8428893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EC5A6B1-29E2-4D27-BDD8-E303C2AF5B67}"/>
            </a:ext>
          </a:extLst>
        </xdr:cNvPr>
        <xdr:cNvSpPr>
          <a:spLocks noChangeArrowheads="1"/>
        </xdr:cNvSpPr>
      </xdr:nvSpPr>
      <xdr:spPr bwMode="auto">
        <a:xfrm>
          <a:off x="723901" y="13608"/>
          <a:ext cx="2762249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0B2F7C08-D60C-467A-8D29-1FD4EDD9D5E4}"/>
            </a:ext>
          </a:extLst>
        </xdr:cNvPr>
        <xdr:cNvSpPr>
          <a:spLocks noChangeArrowheads="1"/>
        </xdr:cNvSpPr>
      </xdr:nvSpPr>
      <xdr:spPr bwMode="auto">
        <a:xfrm>
          <a:off x="352428" y="13608"/>
          <a:ext cx="8257443" cy="3156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6</xdr:row>
      <xdr:rowOff>76200</xdr:rowOff>
    </xdr:from>
    <xdr:to>
      <xdr:col>16</xdr:col>
      <xdr:colOff>114299</xdr:colOff>
      <xdr:row>32</xdr:row>
      <xdr:rowOff>132517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xmlns="" id="{BBC90200-D650-AAF9-60F7-33B844643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1333500"/>
          <a:ext cx="5353049" cy="5504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571501</xdr:colOff>
      <xdr:row>0</xdr:row>
      <xdr:rowOff>13608</xdr:rowOff>
    </xdr:from>
    <xdr:to>
      <xdr:col>4</xdr:col>
      <xdr:colOff>0</xdr:colOff>
      <xdr:row>0</xdr:row>
      <xdr:rowOff>462644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BFA80984-048C-4CE6-9EB9-EF5E4B9041A1}"/>
            </a:ext>
          </a:extLst>
        </xdr:cNvPr>
        <xdr:cNvSpPr>
          <a:spLocks noChangeArrowheads="1"/>
        </xdr:cNvSpPr>
      </xdr:nvSpPr>
      <xdr:spPr bwMode="auto">
        <a:xfrm>
          <a:off x="590551" y="13608"/>
          <a:ext cx="3086099" cy="4490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2019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(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청소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,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경비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)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  <xdr:twoCellAnchor>
    <xdr:from>
      <xdr:col>1</xdr:col>
      <xdr:colOff>200028</xdr:colOff>
      <xdr:row>0</xdr:row>
      <xdr:rowOff>13608</xdr:rowOff>
    </xdr:from>
    <xdr:to>
      <xdr:col>6</xdr:col>
      <xdr:colOff>2504346</xdr:colOff>
      <xdr:row>0</xdr:row>
      <xdr:rowOff>462644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xmlns="" id="{DD420F4B-3F24-4496-B6BD-BD25CF17BF58}"/>
            </a:ext>
          </a:extLst>
        </xdr:cNvPr>
        <xdr:cNvSpPr>
          <a:spLocks noChangeArrowheads="1"/>
        </xdr:cNvSpPr>
      </xdr:nvSpPr>
      <xdr:spPr bwMode="auto">
        <a:xfrm>
          <a:off x="400053" y="13608"/>
          <a:ext cx="8809893" cy="4490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2023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년</a:t>
          </a:r>
          <a:r>
            <a:rPr lang="en-US" altLang="ko-KR" sz="2000" b="1" i="0" strike="noStrike">
              <a:solidFill>
                <a:srgbClr val="000000"/>
              </a:solidFill>
              <a:latin typeface="돋움"/>
              <a:ea typeface="돋움"/>
            </a:rPr>
            <a:t> </a:t>
          </a:r>
          <a:r>
            <a:rPr lang="ko-KR" altLang="en-US" sz="2000" b="1" i="0" strike="noStrike">
              <a:solidFill>
                <a:srgbClr val="000000"/>
              </a:solidFill>
              <a:latin typeface="돋움"/>
              <a:ea typeface="돋움"/>
            </a:rPr>
            <a:t>사옥관리 경비 용역 산출내역서</a:t>
          </a:r>
          <a:endParaRPr lang="en-US" altLang="ko-KR" sz="2000" b="1" i="0" strike="noStrike">
            <a:solidFill>
              <a:srgbClr val="000000"/>
            </a:solidFill>
            <a:latin typeface="돋움"/>
            <a:ea typeface="돋움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127000</xdr:rowOff>
    </xdr:from>
    <xdr:to>
      <xdr:col>7</xdr:col>
      <xdr:colOff>285750</xdr:colOff>
      <xdr:row>34</xdr:row>
      <xdr:rowOff>24548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39750"/>
          <a:ext cx="5064125" cy="6707924"/>
        </a:xfrm>
        <a:prstGeom prst="rect">
          <a:avLst/>
        </a:prstGeom>
      </xdr:spPr>
    </xdr:pic>
    <xdr:clientData/>
  </xdr:twoCellAnchor>
  <xdr:twoCellAnchor editAs="oneCell">
    <xdr:from>
      <xdr:col>8</xdr:col>
      <xdr:colOff>137273</xdr:colOff>
      <xdr:row>2</xdr:row>
      <xdr:rowOff>49492</xdr:rowOff>
    </xdr:from>
    <xdr:to>
      <xdr:col>15</xdr:col>
      <xdr:colOff>609504</xdr:colOff>
      <xdr:row>33</xdr:row>
      <xdr:rowOff>20656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98273" y="668617"/>
          <a:ext cx="5250606" cy="6368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zoomScale="85" zoomScaleNormal="85" zoomScaleSheetLayoutView="70" workbookViewId="0">
      <selection activeCell="E12" sqref="E12"/>
    </sheetView>
  </sheetViews>
  <sheetFormatPr defaultRowHeight="16.5"/>
  <cols>
    <col min="1" max="1" width="2" customWidth="1"/>
    <col min="2" max="2" width="11.25" customWidth="1"/>
    <col min="3" max="3" width="15.75" customWidth="1"/>
    <col min="4" max="5" width="15.625" customWidth="1"/>
    <col min="6" max="6" width="20.375" bestFit="1" customWidth="1"/>
    <col min="7" max="7" width="48.625" customWidth="1"/>
    <col min="8" max="8" width="2.875" customWidth="1"/>
  </cols>
  <sheetData>
    <row r="1" spans="1:9" ht="26.25">
      <c r="A1" s="6"/>
      <c r="B1" s="7"/>
      <c r="C1" s="7"/>
      <c r="D1" s="7"/>
      <c r="E1" s="8"/>
      <c r="F1" s="8"/>
      <c r="G1" s="8"/>
      <c r="H1" s="8"/>
    </row>
    <row r="2" spans="1:9" ht="24.75" customHeight="1" thickBot="1">
      <c r="A2" s="6"/>
      <c r="B2" s="9" t="s">
        <v>212</v>
      </c>
      <c r="C2" s="6"/>
      <c r="D2" s="6"/>
      <c r="E2" s="10"/>
      <c r="F2" s="10"/>
      <c r="G2" s="11" t="s">
        <v>17</v>
      </c>
      <c r="H2" s="11"/>
    </row>
    <row r="3" spans="1:9" ht="32.25" customHeight="1">
      <c r="A3" s="6"/>
      <c r="B3" s="341" t="s">
        <v>18</v>
      </c>
      <c r="C3" s="342"/>
      <c r="D3" s="245" t="s">
        <v>210</v>
      </c>
      <c r="E3" s="246" t="s">
        <v>209</v>
      </c>
      <c r="F3" s="247" t="s">
        <v>213</v>
      </c>
      <c r="G3" s="248" t="s">
        <v>22</v>
      </c>
      <c r="H3" s="234"/>
    </row>
    <row r="4" spans="1:9" ht="11.25" customHeight="1" thickBot="1">
      <c r="A4" s="6"/>
      <c r="B4" s="450"/>
      <c r="C4" s="451"/>
      <c r="D4" s="452"/>
      <c r="E4" s="453">
        <v>2</v>
      </c>
      <c r="F4" s="454">
        <v>7</v>
      </c>
      <c r="G4" s="455"/>
      <c r="H4" s="234"/>
    </row>
    <row r="5" spans="1:9" ht="18" hidden="1" customHeight="1" thickTop="1">
      <c r="A5" s="6"/>
      <c r="B5" s="344" t="s">
        <v>23</v>
      </c>
      <c r="C5" s="195" t="s">
        <v>24</v>
      </c>
      <c r="D5" s="448">
        <v>10577</v>
      </c>
      <c r="E5" s="215"/>
      <c r="F5" s="249"/>
      <c r="G5" s="449" t="s">
        <v>67</v>
      </c>
      <c r="H5" s="235"/>
    </row>
    <row r="6" spans="1:9" ht="18" customHeight="1" thickTop="1">
      <c r="A6" s="6"/>
      <c r="B6" s="344"/>
      <c r="C6" s="195" t="s">
        <v>25</v>
      </c>
      <c r="D6" s="208"/>
      <c r="E6" s="215"/>
      <c r="F6" s="249"/>
      <c r="G6" s="23"/>
      <c r="H6" s="235"/>
    </row>
    <row r="7" spans="1:9" ht="18" customHeight="1">
      <c r="A7" s="6"/>
      <c r="B7" s="344"/>
      <c r="C7" s="195" t="s">
        <v>26</v>
      </c>
      <c r="D7" s="209"/>
      <c r="E7" s="216"/>
      <c r="F7" s="250">
        <f>E7*F4</f>
        <v>0</v>
      </c>
      <c r="G7" s="181"/>
      <c r="H7" s="236"/>
    </row>
    <row r="8" spans="1:9" ht="18" customHeight="1">
      <c r="A8" s="6"/>
      <c r="B8" s="344"/>
      <c r="C8" s="195" t="s">
        <v>152</v>
      </c>
      <c r="D8" s="209"/>
      <c r="E8" s="216"/>
      <c r="F8" s="250">
        <f>E8*F4</f>
        <v>0</v>
      </c>
      <c r="G8" s="28"/>
      <c r="H8" s="237"/>
    </row>
    <row r="9" spans="1:9" ht="18" customHeight="1">
      <c r="A9" s="6"/>
      <c r="B9" s="344"/>
      <c r="C9" s="195" t="s">
        <v>30</v>
      </c>
      <c r="D9" s="189"/>
      <c r="E9" s="216"/>
      <c r="F9" s="250">
        <f>E9*F4</f>
        <v>0</v>
      </c>
      <c r="G9" s="28"/>
      <c r="H9" s="237"/>
    </row>
    <row r="10" spans="1:9" ht="18" hidden="1" customHeight="1" thickBot="1">
      <c r="A10" s="6"/>
      <c r="B10" s="344"/>
      <c r="C10" s="304" t="s">
        <v>154</v>
      </c>
      <c r="D10" s="305"/>
      <c r="E10" s="218"/>
      <c r="F10" s="254">
        <f t="shared" ref="F10:F14" si="0">E10*12</f>
        <v>0</v>
      </c>
      <c r="G10" s="306"/>
      <c r="H10" s="237"/>
    </row>
    <row r="11" spans="1:9" ht="18" customHeight="1">
      <c r="A11" s="6"/>
      <c r="B11" s="344"/>
      <c r="C11" s="315" t="s">
        <v>35</v>
      </c>
      <c r="D11" s="311"/>
      <c r="E11" s="312"/>
      <c r="F11" s="313">
        <f>E11*F4</f>
        <v>0</v>
      </c>
      <c r="G11" s="314"/>
      <c r="H11" s="238"/>
      <c r="I11" s="340"/>
    </row>
    <row r="12" spans="1:9" ht="18" customHeight="1" thickBot="1">
      <c r="A12" s="6"/>
      <c r="B12" s="344"/>
      <c r="C12" s="307" t="s">
        <v>36</v>
      </c>
      <c r="D12" s="308"/>
      <c r="E12" s="309"/>
      <c r="F12" s="262">
        <f>E12*12</f>
        <v>0</v>
      </c>
      <c r="G12" s="310"/>
      <c r="H12" s="239"/>
      <c r="I12" s="340"/>
    </row>
    <row r="13" spans="1:9" ht="18" customHeight="1" thickBot="1">
      <c r="A13" s="6"/>
      <c r="B13" s="345"/>
      <c r="C13" s="222" t="s">
        <v>38</v>
      </c>
      <c r="D13" s="223"/>
      <c r="E13" s="224"/>
      <c r="F13" s="252">
        <f>E13*F4</f>
        <v>0</v>
      </c>
      <c r="G13" s="38"/>
      <c r="H13" s="238"/>
    </row>
    <row r="14" spans="1:9" ht="18" customHeight="1">
      <c r="A14" s="6"/>
      <c r="B14" s="226"/>
      <c r="C14" s="196" t="s">
        <v>39</v>
      </c>
      <c r="D14" s="197"/>
      <c r="E14" s="217"/>
      <c r="F14" s="253">
        <f t="shared" si="0"/>
        <v>0</v>
      </c>
      <c r="G14" s="198"/>
      <c r="H14" s="240"/>
    </row>
    <row r="15" spans="1:9" ht="18" customHeight="1">
      <c r="A15" s="6"/>
      <c r="B15" s="344" t="s">
        <v>41</v>
      </c>
      <c r="C15" s="199" t="s">
        <v>42</v>
      </c>
      <c r="D15" s="190"/>
      <c r="E15" s="216"/>
      <c r="F15" s="250">
        <f>E15*F4</f>
        <v>0</v>
      </c>
      <c r="G15" s="52"/>
      <c r="H15" s="241"/>
    </row>
    <row r="16" spans="1:9" ht="18" customHeight="1">
      <c r="A16" s="6"/>
      <c r="B16" s="344"/>
      <c r="C16" s="199" t="s">
        <v>44</v>
      </c>
      <c r="D16" s="189"/>
      <c r="E16" s="216"/>
      <c r="F16" s="250">
        <f>E16*F4</f>
        <v>0</v>
      </c>
      <c r="G16" s="53"/>
      <c r="H16" s="240"/>
    </row>
    <row r="17" spans="1:8" ht="18" customHeight="1">
      <c r="A17" s="6"/>
      <c r="B17" s="344"/>
      <c r="C17" s="200" t="s">
        <v>46</v>
      </c>
      <c r="D17" s="211"/>
      <c r="E17" s="216"/>
      <c r="F17" s="250">
        <f>E17*F4</f>
        <v>0</v>
      </c>
      <c r="G17" s="52"/>
      <c r="H17" s="241"/>
    </row>
    <row r="18" spans="1:8" ht="18" customHeight="1">
      <c r="A18" s="6"/>
      <c r="B18" s="344"/>
      <c r="C18" s="200" t="s">
        <v>48</v>
      </c>
      <c r="D18" s="211"/>
      <c r="E18" s="216"/>
      <c r="F18" s="250">
        <f>E18*F4</f>
        <v>0</v>
      </c>
      <c r="G18" s="53"/>
      <c r="H18" s="240"/>
    </row>
    <row r="19" spans="1:8" ht="18" customHeight="1">
      <c r="A19" s="6"/>
      <c r="B19" s="344"/>
      <c r="C19" s="201" t="s">
        <v>50</v>
      </c>
      <c r="D19" s="212"/>
      <c r="E19" s="218"/>
      <c r="F19" s="254">
        <f>E19*F4</f>
        <v>0</v>
      </c>
      <c r="G19" s="192"/>
      <c r="H19" s="241"/>
    </row>
    <row r="20" spans="1:8" ht="18" customHeight="1">
      <c r="A20" s="6"/>
      <c r="B20" s="344"/>
      <c r="C20" s="202" t="s">
        <v>204</v>
      </c>
      <c r="D20" s="211"/>
      <c r="E20" s="219"/>
      <c r="F20" s="255">
        <f>E20*F4</f>
        <v>0</v>
      </c>
      <c r="G20" s="52"/>
      <c r="H20" s="241"/>
    </row>
    <row r="21" spans="1:8" ht="18" customHeight="1">
      <c r="A21" s="6"/>
      <c r="B21" s="344"/>
      <c r="C21" s="203" t="s">
        <v>54</v>
      </c>
      <c r="D21" s="213"/>
      <c r="E21" s="220"/>
      <c r="F21" s="256">
        <f>E21*F4</f>
        <v>0</v>
      </c>
      <c r="G21" s="204"/>
      <c r="H21" s="242"/>
    </row>
    <row r="22" spans="1:8" ht="18" customHeight="1">
      <c r="A22" s="6"/>
      <c r="B22" s="344"/>
      <c r="C22" s="184" t="s">
        <v>57</v>
      </c>
      <c r="D22" s="214"/>
      <c r="E22" s="218"/>
      <c r="F22" s="254">
        <f>SUM(F14:F21)</f>
        <v>0</v>
      </c>
      <c r="G22" s="205"/>
      <c r="H22" s="243"/>
    </row>
    <row r="23" spans="1:8" ht="18" customHeight="1">
      <c r="A23" s="6"/>
      <c r="B23" s="346" t="s">
        <v>58</v>
      </c>
      <c r="C23" s="347"/>
      <c r="D23" s="232"/>
      <c r="E23" s="233"/>
      <c r="F23" s="257">
        <f>F13+F22</f>
        <v>0</v>
      </c>
      <c r="G23" s="225"/>
      <c r="H23" s="243"/>
    </row>
    <row r="24" spans="1:8" ht="18" customHeight="1">
      <c r="A24" s="6"/>
      <c r="B24" s="338" t="s">
        <v>59</v>
      </c>
      <c r="C24" s="339"/>
      <c r="D24" s="207"/>
      <c r="E24" s="221"/>
      <c r="F24" s="257">
        <f>E24*F4</f>
        <v>0</v>
      </c>
      <c r="G24" s="225"/>
      <c r="H24" s="227"/>
    </row>
    <row r="25" spans="1:8" ht="18" customHeight="1" thickBot="1">
      <c r="A25" s="6"/>
      <c r="B25" s="348" t="s">
        <v>61</v>
      </c>
      <c r="C25" s="349"/>
      <c r="D25" s="266"/>
      <c r="E25" s="267"/>
      <c r="F25" s="258">
        <f>E25*F4</f>
        <v>0</v>
      </c>
      <c r="G25" s="268"/>
      <c r="H25" s="228"/>
    </row>
    <row r="26" spans="1:8" ht="18" customHeight="1" thickBot="1">
      <c r="A26" s="6"/>
      <c r="B26" s="350" t="s">
        <v>63</v>
      </c>
      <c r="C26" s="351"/>
      <c r="D26" s="272">
        <f>SUM(D23:D25)</f>
        <v>0</v>
      </c>
      <c r="E26" s="273">
        <f>SUM(E23:E25)</f>
        <v>0</v>
      </c>
      <c r="F26" s="259">
        <f>SUM(F23:F25)</f>
        <v>0</v>
      </c>
      <c r="G26" s="191"/>
      <c r="H26" s="229"/>
    </row>
    <row r="27" spans="1:8" ht="18" customHeight="1">
      <c r="A27" s="6"/>
      <c r="B27" s="352" t="s">
        <v>64</v>
      </c>
      <c r="C27" s="353"/>
      <c r="D27" s="269"/>
      <c r="E27" s="270"/>
      <c r="F27" s="260">
        <f>ROUNDDOWN(F26*0.1,0)</f>
        <v>0</v>
      </c>
      <c r="G27" s="271"/>
      <c r="H27" s="230"/>
    </row>
    <row r="28" spans="1:8" ht="18" customHeight="1" thickBot="1">
      <c r="A28" s="6"/>
      <c r="B28" s="356" t="s">
        <v>63</v>
      </c>
      <c r="C28" s="357"/>
      <c r="D28" s="274"/>
      <c r="E28" s="275"/>
      <c r="F28" s="261">
        <f>F26+F27</f>
        <v>0</v>
      </c>
      <c r="G28" s="278"/>
      <c r="H28" s="229"/>
    </row>
    <row r="29" spans="1:8" ht="18" customHeight="1" thickBot="1">
      <c r="A29" s="6"/>
      <c r="B29" s="354" t="s">
        <v>206</v>
      </c>
      <c r="C29" s="355"/>
      <c r="D29" s="276">
        <f>F28</f>
        <v>0</v>
      </c>
      <c r="E29" s="277"/>
      <c r="F29" s="259">
        <f>D29+E29</f>
        <v>0</v>
      </c>
      <c r="G29" s="279" t="s">
        <v>214</v>
      </c>
      <c r="H29" s="229"/>
    </row>
    <row r="30" spans="1:8" ht="21.75" customHeight="1" thickBot="1">
      <c r="A30" s="78"/>
      <c r="B30" s="335"/>
      <c r="C30" s="336"/>
      <c r="D30" s="336"/>
      <c r="E30" s="336"/>
      <c r="F30" s="336"/>
      <c r="G30" s="337"/>
      <c r="H30" s="231"/>
    </row>
    <row r="31" spans="1:8">
      <c r="A31" s="6"/>
      <c r="B31" s="83"/>
      <c r="C31" s="83"/>
      <c r="D31" s="83"/>
      <c r="E31" s="84"/>
      <c r="F31" s="85"/>
      <c r="G31" s="85"/>
      <c r="H31" s="85"/>
    </row>
    <row r="32" spans="1:8" ht="20.25">
      <c r="A32" s="6"/>
      <c r="B32" s="86"/>
      <c r="C32" s="86"/>
      <c r="D32" s="86"/>
      <c r="E32" s="86"/>
      <c r="F32" s="86"/>
      <c r="G32" s="87"/>
      <c r="H32" s="87"/>
    </row>
    <row r="34" spans="6:6">
      <c r="F34" s="187" t="s">
        <v>215</v>
      </c>
    </row>
    <row r="36" spans="6:6">
      <c r="F36" s="187"/>
    </row>
  </sheetData>
  <mergeCells count="12">
    <mergeCell ref="B30:G30"/>
    <mergeCell ref="B24:C24"/>
    <mergeCell ref="I11:I12"/>
    <mergeCell ref="B3:C3"/>
    <mergeCell ref="B5:B13"/>
    <mergeCell ref="B15:B22"/>
    <mergeCell ref="B23:C23"/>
    <mergeCell ref="B25:C25"/>
    <mergeCell ref="B26:C26"/>
    <mergeCell ref="B27:C27"/>
    <mergeCell ref="B29:C29"/>
    <mergeCell ref="B28:C28"/>
  </mergeCells>
  <phoneticPr fontId="2" type="noConversion"/>
  <pageMargins left="0.7" right="0.7" top="0.75" bottom="0.75" header="0.3" footer="0.3"/>
  <pageSetup paperSize="9" scale="93" fitToHeight="0" orientation="landscape" r:id="rId1"/>
  <rowBreaks count="1" manualBreakCount="1">
    <brk id="29" max="6" man="1"/>
  </rowBreaks>
  <ignoredErrors>
    <ignoredError sqref="F11:F1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27"/>
  <sheetViews>
    <sheetView workbookViewId="0">
      <selection activeCell="A5" sqref="A5"/>
    </sheetView>
  </sheetViews>
  <sheetFormatPr defaultRowHeight="16.5"/>
  <cols>
    <col min="1" max="1" width="19.75" style="1" bestFit="1" customWidth="1"/>
    <col min="2" max="6" width="9" style="1"/>
    <col min="7" max="7" width="10.125" style="1" bestFit="1" customWidth="1"/>
    <col min="8" max="16384" width="9" style="1"/>
  </cols>
  <sheetData>
    <row r="1" spans="1:36">
      <c r="A1" s="92"/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3">
        <v>6</v>
      </c>
      <c r="H1" s="93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3">
        <v>13</v>
      </c>
      <c r="O1" s="93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3">
        <v>20</v>
      </c>
      <c r="V1" s="93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3">
        <v>27</v>
      </c>
      <c r="AC1" s="93">
        <v>28</v>
      </c>
      <c r="AD1" s="92">
        <v>29</v>
      </c>
      <c r="AE1" s="92">
        <v>30</v>
      </c>
      <c r="AF1" s="92">
        <v>31</v>
      </c>
    </row>
    <row r="2" spans="1:36">
      <c r="A2" s="92" t="s">
        <v>1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4" t="s">
        <v>5</v>
      </c>
      <c r="H2" s="4" t="s">
        <v>5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4" t="s">
        <v>7</v>
      </c>
      <c r="O2" s="4" t="s">
        <v>5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4" t="s">
        <v>5</v>
      </c>
      <c r="V2" s="4" t="s">
        <v>7</v>
      </c>
      <c r="W2" s="3" t="s">
        <v>9</v>
      </c>
      <c r="X2" s="3" t="s">
        <v>9</v>
      </c>
      <c r="Y2" s="3" t="s">
        <v>9</v>
      </c>
      <c r="Z2" s="3" t="s">
        <v>9</v>
      </c>
      <c r="AA2" s="3" t="s">
        <v>9</v>
      </c>
      <c r="AB2" s="4" t="s">
        <v>5</v>
      </c>
      <c r="AC2" s="4" t="s">
        <v>5</v>
      </c>
      <c r="AD2" s="3" t="s">
        <v>0</v>
      </c>
      <c r="AE2" s="3" t="s">
        <v>0</v>
      </c>
      <c r="AF2" s="3" t="s">
        <v>0</v>
      </c>
    </row>
    <row r="3" spans="1:36">
      <c r="A3" s="92" t="s">
        <v>2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  <c r="G3" s="4" t="s">
        <v>7</v>
      </c>
      <c r="H3" s="4" t="s">
        <v>5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4" t="s">
        <v>5</v>
      </c>
      <c r="O3" s="4" t="s">
        <v>7</v>
      </c>
      <c r="P3" s="3" t="s">
        <v>9</v>
      </c>
      <c r="Q3" s="3" t="s">
        <v>9</v>
      </c>
      <c r="R3" s="3" t="s">
        <v>9</v>
      </c>
      <c r="S3" s="3" t="s">
        <v>9</v>
      </c>
      <c r="T3" s="3" t="s">
        <v>9</v>
      </c>
      <c r="U3" s="4" t="s">
        <v>5</v>
      </c>
      <c r="V3" s="4" t="s">
        <v>5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4" t="s">
        <v>5</v>
      </c>
      <c r="AC3" s="4" t="s">
        <v>5</v>
      </c>
      <c r="AD3" s="3" t="s">
        <v>6</v>
      </c>
      <c r="AE3" s="3" t="s">
        <v>6</v>
      </c>
      <c r="AF3" s="3" t="s">
        <v>6</v>
      </c>
    </row>
    <row r="4" spans="1:36">
      <c r="A4" s="92" t="s">
        <v>3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4" t="s">
        <v>5</v>
      </c>
      <c r="H4" s="4" t="s">
        <v>7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9</v>
      </c>
      <c r="N4" s="4" t="s">
        <v>5</v>
      </c>
      <c r="O4" s="4" t="s">
        <v>5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4" t="s">
        <v>5</v>
      </c>
      <c r="V4" s="4" t="s">
        <v>5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6</v>
      </c>
      <c r="AB4" s="4" t="s">
        <v>7</v>
      </c>
      <c r="AC4" s="4" t="s">
        <v>5</v>
      </c>
      <c r="AD4" s="3" t="s">
        <v>8</v>
      </c>
      <c r="AE4" s="3" t="s">
        <v>8</v>
      </c>
      <c r="AF4" s="3" t="s">
        <v>8</v>
      </c>
      <c r="AI4" s="2"/>
      <c r="AJ4" s="2"/>
    </row>
    <row r="5" spans="1:36">
      <c r="A5" s="92" t="s">
        <v>4</v>
      </c>
      <c r="B5" s="3" t="s">
        <v>9</v>
      </c>
      <c r="C5" s="3" t="s">
        <v>9</v>
      </c>
      <c r="D5" s="3" t="s">
        <v>9</v>
      </c>
      <c r="E5" s="3" t="s">
        <v>9</v>
      </c>
      <c r="F5" s="3" t="s">
        <v>9</v>
      </c>
      <c r="G5" s="4" t="s">
        <v>5</v>
      </c>
      <c r="H5" s="4" t="s">
        <v>5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4" t="s">
        <v>5</v>
      </c>
      <c r="O5" s="4" t="s">
        <v>5</v>
      </c>
      <c r="P5" s="3" t="s">
        <v>6</v>
      </c>
      <c r="Q5" s="3" t="s">
        <v>6</v>
      </c>
      <c r="R5" s="3" t="s">
        <v>6</v>
      </c>
      <c r="S5" s="3" t="s">
        <v>6</v>
      </c>
      <c r="T5" s="3" t="s">
        <v>6</v>
      </c>
      <c r="U5" s="4" t="s">
        <v>7</v>
      </c>
      <c r="V5" s="4" t="s">
        <v>5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4" t="s">
        <v>5</v>
      </c>
      <c r="AC5" s="4" t="s">
        <v>7</v>
      </c>
      <c r="AD5" s="3" t="s">
        <v>9</v>
      </c>
      <c r="AE5" s="3" t="s">
        <v>9</v>
      </c>
      <c r="AF5" s="3" t="s">
        <v>9</v>
      </c>
    </row>
    <row r="6" spans="1:36" ht="17.25" thickBot="1"/>
    <row r="7" spans="1:36">
      <c r="A7" s="112"/>
      <c r="B7" s="113" t="s">
        <v>11</v>
      </c>
      <c r="C7" s="113" t="s">
        <v>10</v>
      </c>
      <c r="D7" s="113" t="s">
        <v>12</v>
      </c>
      <c r="E7" s="114" t="s">
        <v>9</v>
      </c>
      <c r="F7" s="5"/>
    </row>
    <row r="8" spans="1:36">
      <c r="A8" s="133" t="s">
        <v>0</v>
      </c>
      <c r="B8" s="3">
        <f>C8+D8</f>
        <v>10</v>
      </c>
      <c r="C8" s="161">
        <v>9</v>
      </c>
      <c r="D8" s="3">
        <v>1</v>
      </c>
      <c r="E8" s="134"/>
      <c r="G8" s="89"/>
      <c r="H8" s="90"/>
    </row>
    <row r="9" spans="1:36">
      <c r="A9" s="133" t="s">
        <v>6</v>
      </c>
      <c r="B9" s="3">
        <f>C9+D9</f>
        <v>6.5</v>
      </c>
      <c r="C9" s="161">
        <v>6</v>
      </c>
      <c r="D9" s="3">
        <v>0.5</v>
      </c>
      <c r="E9" s="134"/>
      <c r="G9" s="90"/>
      <c r="H9" s="90"/>
    </row>
    <row r="10" spans="1:36">
      <c r="A10" s="133" t="s">
        <v>8</v>
      </c>
      <c r="B10" s="3">
        <f>C10+D10</f>
        <v>6.5</v>
      </c>
      <c r="C10" s="161">
        <v>6</v>
      </c>
      <c r="D10" s="3">
        <v>0.5</v>
      </c>
      <c r="E10" s="134"/>
      <c r="G10" s="90"/>
      <c r="H10" s="90"/>
    </row>
    <row r="11" spans="1:36">
      <c r="A11" s="133" t="s">
        <v>9</v>
      </c>
      <c r="B11" s="3">
        <f>C11+D11</f>
        <v>11</v>
      </c>
      <c r="C11" s="168">
        <v>6</v>
      </c>
      <c r="D11" s="168">
        <v>5</v>
      </c>
      <c r="E11" s="169">
        <v>4</v>
      </c>
    </row>
    <row r="12" spans="1:36" ht="17.25" thickBot="1">
      <c r="A12" s="135" t="s">
        <v>7</v>
      </c>
      <c r="B12" s="136">
        <f>C12+D12</f>
        <v>24</v>
      </c>
      <c r="C12" s="162">
        <v>16</v>
      </c>
      <c r="D12" s="136">
        <v>8</v>
      </c>
      <c r="E12" s="160">
        <v>4</v>
      </c>
    </row>
    <row r="13" spans="1:36" ht="17.25" thickBot="1"/>
    <row r="14" spans="1:36">
      <c r="A14" s="112"/>
      <c r="B14" s="113" t="s">
        <v>0</v>
      </c>
      <c r="C14" s="113" t="s">
        <v>6</v>
      </c>
      <c r="D14" s="113" t="s">
        <v>8</v>
      </c>
      <c r="E14" s="113" t="s">
        <v>9</v>
      </c>
      <c r="F14" s="113" t="s">
        <v>7</v>
      </c>
      <c r="G14" s="114" t="s">
        <v>14</v>
      </c>
    </row>
    <row r="15" spans="1:36">
      <c r="A15" s="137" t="s">
        <v>1</v>
      </c>
      <c r="B15" s="94">
        <f>COUNTIF($B$2:$AF$2,$B$14)</f>
        <v>8</v>
      </c>
      <c r="C15" s="94">
        <f>COUNTIF($B$2:$AF$2,$C$14)</f>
        <v>5</v>
      </c>
      <c r="D15" s="94">
        <f>COUNTIF($B$2:$AF$2,$D$14)</f>
        <v>5</v>
      </c>
      <c r="E15" s="94">
        <f>COUNTIF($B$2:$AF$2,$E$14)</f>
        <v>5</v>
      </c>
      <c r="F15" s="94">
        <f>COUNTIF($B$2:$AF$2,$F$14)</f>
        <v>2</v>
      </c>
      <c r="G15" s="115"/>
    </row>
    <row r="16" spans="1:36">
      <c r="A16" s="138" t="s">
        <v>13</v>
      </c>
      <c r="B16" s="95">
        <f>$C$8*B15</f>
        <v>72</v>
      </c>
      <c r="C16" s="95">
        <f>$C$9*C15</f>
        <v>30</v>
      </c>
      <c r="D16" s="95">
        <f>$C$10*D15</f>
        <v>30</v>
      </c>
      <c r="E16" s="95">
        <f>$C$11*E15</f>
        <v>30</v>
      </c>
      <c r="F16" s="95">
        <f>$C$12*F15</f>
        <v>32</v>
      </c>
      <c r="G16" s="139">
        <f>SUM(B16:F16)</f>
        <v>194</v>
      </c>
    </row>
    <row r="17" spans="1:7">
      <c r="A17" s="137" t="s">
        <v>2</v>
      </c>
      <c r="B17" s="94">
        <f>COUNTIF($B$3:$AF$3,$B$14)</f>
        <v>5</v>
      </c>
      <c r="C17" s="94">
        <f>COUNTIF($B$3:$AF$3,$C$14)</f>
        <v>8</v>
      </c>
      <c r="D17" s="94">
        <f>COUNTIF($B$3:$AF$3,$D$14)</f>
        <v>5</v>
      </c>
      <c r="E17" s="94">
        <f>COUNTIF($B$3:$AF$3,$E$14)</f>
        <v>5</v>
      </c>
      <c r="F17" s="94">
        <f>COUNTIF($B$3:$AF$3,$F$14)</f>
        <v>2</v>
      </c>
      <c r="G17" s="115"/>
    </row>
    <row r="18" spans="1:7">
      <c r="A18" s="138" t="s">
        <v>13</v>
      </c>
      <c r="B18" s="95">
        <f>$C$8*B17</f>
        <v>45</v>
      </c>
      <c r="C18" s="95">
        <f>$C$9*C17</f>
        <v>48</v>
      </c>
      <c r="D18" s="95">
        <f>$C$10*D17</f>
        <v>30</v>
      </c>
      <c r="E18" s="95">
        <f>$C$11*E17</f>
        <v>30</v>
      </c>
      <c r="F18" s="95">
        <f>$C$12*F17</f>
        <v>32</v>
      </c>
      <c r="G18" s="139">
        <f>SUM(B18:F18)</f>
        <v>185</v>
      </c>
    </row>
    <row r="19" spans="1:7">
      <c r="A19" s="137" t="s">
        <v>3</v>
      </c>
      <c r="B19" s="94">
        <f>COUNTIF($B$4:$AF$4,$B$14)</f>
        <v>5</v>
      </c>
      <c r="C19" s="94">
        <f>COUNTIF($B$4:$AF$4,$C$14)</f>
        <v>5</v>
      </c>
      <c r="D19" s="94">
        <f>COUNTIF($B$4:$AF$4,$D$14)</f>
        <v>8</v>
      </c>
      <c r="E19" s="94">
        <f>COUNTIF($B$4:$AF$4,$E$14)</f>
        <v>5</v>
      </c>
      <c r="F19" s="94">
        <f>COUNTIF($B$4:$AF$4,$F$14)</f>
        <v>2</v>
      </c>
      <c r="G19" s="115"/>
    </row>
    <row r="20" spans="1:7">
      <c r="A20" s="138" t="s">
        <v>13</v>
      </c>
      <c r="B20" s="95">
        <f>$C$8*B19</f>
        <v>45</v>
      </c>
      <c r="C20" s="95">
        <f>$C$9*C19</f>
        <v>30</v>
      </c>
      <c r="D20" s="95">
        <f>$C$10*D19</f>
        <v>48</v>
      </c>
      <c r="E20" s="95">
        <f>$C$11*E19</f>
        <v>30</v>
      </c>
      <c r="F20" s="95">
        <f>$C$12*F19</f>
        <v>32</v>
      </c>
      <c r="G20" s="139">
        <f>SUM(B20:F20)</f>
        <v>185</v>
      </c>
    </row>
    <row r="21" spans="1:7">
      <c r="A21" s="137" t="s">
        <v>4</v>
      </c>
      <c r="B21" s="94">
        <f>COUNTIF($B$5:$AF$5,$B$14)</f>
        <v>5</v>
      </c>
      <c r="C21" s="94">
        <f>COUNTIF($B$5:$AF$5,$C$14)</f>
        <v>5</v>
      </c>
      <c r="D21" s="94">
        <f>COUNTIF($B$5:$AF$5,$D$14)</f>
        <v>5</v>
      </c>
      <c r="E21" s="94">
        <f>COUNTIF($B$5:$AF$5,$E$14)</f>
        <v>8</v>
      </c>
      <c r="F21" s="94">
        <f>COUNTIF($B$5:$AF$5,$F$14)</f>
        <v>2</v>
      </c>
      <c r="G21" s="115"/>
    </row>
    <row r="22" spans="1:7" ht="17.25" thickBot="1">
      <c r="A22" s="140" t="s">
        <v>13</v>
      </c>
      <c r="B22" s="118">
        <f>$C$8*B21</f>
        <v>45</v>
      </c>
      <c r="C22" s="118">
        <f>$C$9*C21</f>
        <v>30</v>
      </c>
      <c r="D22" s="118">
        <f>$C$10*D21</f>
        <v>30</v>
      </c>
      <c r="E22" s="118">
        <f>$C$11*E21</f>
        <v>48</v>
      </c>
      <c r="F22" s="118">
        <f>$C$12*F21</f>
        <v>32</v>
      </c>
      <c r="G22" s="141">
        <f>SUM(B22:F22)</f>
        <v>185</v>
      </c>
    </row>
    <row r="23" spans="1:7" ht="17.25" thickBot="1"/>
    <row r="24" spans="1:7">
      <c r="A24" s="142" t="s">
        <v>69</v>
      </c>
      <c r="B24" s="143" t="s">
        <v>157</v>
      </c>
      <c r="C24" s="144"/>
      <c r="D24" s="373"/>
      <c r="E24" s="374"/>
      <c r="F24" s="375"/>
      <c r="G24" s="145">
        <f>5*(C8+C9+C10+C11)+2*C12</f>
        <v>167</v>
      </c>
    </row>
    <row r="25" spans="1:7">
      <c r="A25" s="146" t="s">
        <v>71</v>
      </c>
      <c r="B25" s="108" t="s">
        <v>72</v>
      </c>
      <c r="C25" s="109"/>
      <c r="D25" s="109"/>
      <c r="E25" s="109"/>
      <c r="F25" s="109"/>
      <c r="G25" s="147">
        <f>G24/28*365/12</f>
        <v>181.41369047619048</v>
      </c>
    </row>
    <row r="26" spans="1:7">
      <c r="A26" s="146" t="s">
        <v>73</v>
      </c>
      <c r="B26" s="108" t="s">
        <v>74</v>
      </c>
      <c r="C26" s="109"/>
      <c r="D26" s="376"/>
      <c r="E26" s="377"/>
      <c r="F26" s="378"/>
      <c r="G26" s="148">
        <f>5*E11+2*E12</f>
        <v>28</v>
      </c>
    </row>
    <row r="27" spans="1:7" ht="17.25" thickBot="1">
      <c r="A27" s="140" t="s">
        <v>75</v>
      </c>
      <c r="B27" s="149" t="s">
        <v>76</v>
      </c>
      <c r="C27" s="118"/>
      <c r="D27" s="118"/>
      <c r="E27" s="118"/>
      <c r="F27" s="118"/>
      <c r="G27" s="150">
        <f>G26/28*365/12*0.5</f>
        <v>15.208333333333334</v>
      </c>
    </row>
  </sheetData>
  <mergeCells count="2">
    <mergeCell ref="D24:F24"/>
    <mergeCell ref="D26:F26"/>
  </mergeCells>
  <phoneticPr fontId="2" type="noConversion"/>
  <pageMargins left="0.7" right="0.7" top="0.75" bottom="0.75" header="0.3" footer="0.3"/>
  <pageSetup paperSize="9" scale="96" orientation="portrait" r:id="rId1"/>
  <ignoredErrors>
    <ignoredError sqref="B17:F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opLeftCell="A4" workbookViewId="0">
      <selection activeCell="A5" sqref="A5"/>
    </sheetView>
  </sheetViews>
  <sheetFormatPr defaultRowHeight="16.5"/>
  <cols>
    <col min="1" max="1" width="2" customWidth="1"/>
    <col min="2" max="2" width="11.25" customWidth="1"/>
    <col min="3" max="5" width="16.25" customWidth="1"/>
    <col min="6" max="6" width="20.375" bestFit="1" customWidth="1"/>
    <col min="7" max="7" width="43" customWidth="1"/>
    <col min="8" max="8" width="48.375" customWidth="1"/>
    <col min="9" max="9" width="19.625" customWidth="1"/>
    <col min="10" max="10" width="8.75" bestFit="1" customWidth="1"/>
  </cols>
  <sheetData>
    <row r="1" spans="1:9" ht="26.25">
      <c r="A1" s="6"/>
      <c r="B1" s="7"/>
      <c r="C1" s="7"/>
      <c r="D1" s="7"/>
      <c r="E1" s="8"/>
      <c r="F1" s="8"/>
      <c r="G1" s="8"/>
      <c r="H1" s="6"/>
    </row>
    <row r="2" spans="1:9" ht="28.5" customHeight="1" thickBot="1">
      <c r="A2" s="6"/>
      <c r="B2" s="9" t="s">
        <v>101</v>
      </c>
      <c r="C2" s="6"/>
      <c r="D2" s="6"/>
      <c r="E2" s="10"/>
      <c r="F2" s="10"/>
      <c r="G2" s="11" t="s">
        <v>17</v>
      </c>
      <c r="H2" s="6"/>
    </row>
    <row r="3" spans="1:9" ht="66.75" customHeight="1" thickBot="1">
      <c r="A3" s="6"/>
      <c r="B3" s="390" t="s">
        <v>18</v>
      </c>
      <c r="C3" s="391"/>
      <c r="D3" s="12" t="s">
        <v>19</v>
      </c>
      <c r="E3" s="13" t="s">
        <v>20</v>
      </c>
      <c r="F3" s="13" t="s">
        <v>21</v>
      </c>
      <c r="G3" s="14" t="s">
        <v>22</v>
      </c>
      <c r="H3" s="392" t="s">
        <v>111</v>
      </c>
      <c r="I3" s="359"/>
    </row>
    <row r="4" spans="1:9" ht="15.75" customHeight="1" thickTop="1">
      <c r="A4" s="6"/>
      <c r="B4" s="393" t="s">
        <v>23</v>
      </c>
      <c r="C4" s="15" t="s">
        <v>24</v>
      </c>
      <c r="D4" s="16">
        <v>10578</v>
      </c>
      <c r="E4" s="17"/>
      <c r="F4" s="18"/>
      <c r="G4" s="19" t="s">
        <v>67</v>
      </c>
      <c r="H4" t="s">
        <v>80</v>
      </c>
      <c r="I4" s="155">
        <v>11020</v>
      </c>
    </row>
    <row r="5" spans="1:9" ht="15.75" customHeight="1">
      <c r="A5" s="6"/>
      <c r="B5" s="394"/>
      <c r="C5" s="20" t="s">
        <v>25</v>
      </c>
      <c r="D5" s="153">
        <f>I9</f>
        <v>182</v>
      </c>
      <c r="E5" s="21"/>
      <c r="F5" s="22"/>
      <c r="G5" s="23"/>
      <c r="H5" s="91" t="s">
        <v>81</v>
      </c>
      <c r="I5" s="156">
        <f>84618/8</f>
        <v>10577.25</v>
      </c>
    </row>
    <row r="6" spans="1:9" ht="15.75" customHeight="1">
      <c r="A6" s="6"/>
      <c r="B6" s="394"/>
      <c r="C6" s="20" t="s">
        <v>26</v>
      </c>
      <c r="D6" s="24">
        <f>D4*D5</f>
        <v>1925196</v>
      </c>
      <c r="E6" s="25">
        <f>D6*4</f>
        <v>7700784</v>
      </c>
      <c r="F6" s="26">
        <f>E6*12</f>
        <v>92409408</v>
      </c>
      <c r="G6" s="152">
        <f>(D6+D7)/D5</f>
        <v>11325.252747252747</v>
      </c>
      <c r="H6" s="6" t="s">
        <v>79</v>
      </c>
      <c r="I6" s="157">
        <v>9620</v>
      </c>
    </row>
    <row r="7" spans="1:9" ht="15.75" customHeight="1">
      <c r="A7" s="6"/>
      <c r="B7" s="394"/>
      <c r="C7" s="20" t="s">
        <v>55</v>
      </c>
      <c r="D7" s="29">
        <f>8000*(5+5+4+3)</f>
        <v>136000</v>
      </c>
      <c r="E7" s="25">
        <f>D7*4</f>
        <v>544000</v>
      </c>
      <c r="F7" s="26">
        <f>E7*12</f>
        <v>6528000</v>
      </c>
      <c r="G7" s="28"/>
      <c r="H7" s="6"/>
      <c r="I7" s="102"/>
    </row>
    <row r="8" spans="1:9" ht="15.75" customHeight="1">
      <c r="A8" s="6"/>
      <c r="B8" s="394"/>
      <c r="C8" s="20" t="s">
        <v>152</v>
      </c>
      <c r="D8" s="24">
        <f>G6*I10/28*365/12*0.5</f>
        <v>172238.21886446886</v>
      </c>
      <c r="E8" s="25">
        <f>D8*4</f>
        <v>688952.87545787543</v>
      </c>
      <c r="F8" s="26">
        <f>E8*12</f>
        <v>8267434.5054945052</v>
      </c>
      <c r="G8" s="28"/>
      <c r="H8" t="s">
        <v>68</v>
      </c>
      <c r="I8" s="158">
        <f>'근무표(평일야간4)'!G24</f>
        <v>167</v>
      </c>
    </row>
    <row r="9" spans="1:9" ht="15.75" customHeight="1">
      <c r="A9" s="6"/>
      <c r="B9" s="394"/>
      <c r="C9" s="20" t="s">
        <v>153</v>
      </c>
      <c r="D9" s="29">
        <f>G6*8/12</f>
        <v>7550.1684981684984</v>
      </c>
      <c r="E9" s="25">
        <f t="shared" ref="E9:E11" si="0">D9*4</f>
        <v>30200.673992673994</v>
      </c>
      <c r="F9" s="26">
        <f t="shared" ref="F9:F22" si="1">E9*12</f>
        <v>362408.08791208791</v>
      </c>
      <c r="G9" s="28"/>
      <c r="H9" t="s">
        <v>70</v>
      </c>
      <c r="I9" s="164">
        <f>ROUNDUP('근무표(평일야간4)'!G25,0)</f>
        <v>182</v>
      </c>
    </row>
    <row r="10" spans="1:9" ht="15.75" customHeight="1">
      <c r="A10" s="6"/>
      <c r="B10" s="394"/>
      <c r="C10" s="20" t="s">
        <v>30</v>
      </c>
      <c r="D10" s="29">
        <f>G6*8*15/12</f>
        <v>113252.52747252746</v>
      </c>
      <c r="E10" s="25">
        <f t="shared" si="0"/>
        <v>453010.10989010986</v>
      </c>
      <c r="F10" s="26">
        <f>E10*12</f>
        <v>5436121.3186813183</v>
      </c>
      <c r="G10" s="28"/>
      <c r="H10" t="s">
        <v>77</v>
      </c>
      <c r="I10" s="158">
        <f>'근무표(평일야간4)'!G26</f>
        <v>28</v>
      </c>
    </row>
    <row r="11" spans="1:9" ht="15.75" customHeight="1" thickBot="1">
      <c r="A11" s="6"/>
      <c r="B11" s="394"/>
      <c r="C11" s="20" t="s">
        <v>154</v>
      </c>
      <c r="D11" s="24">
        <v>0</v>
      </c>
      <c r="E11" s="25">
        <f t="shared" si="0"/>
        <v>0</v>
      </c>
      <c r="F11" s="26">
        <f t="shared" si="1"/>
        <v>0</v>
      </c>
      <c r="G11" s="28"/>
      <c r="H11" t="s">
        <v>78</v>
      </c>
      <c r="I11" s="159">
        <f>'근무표(평일야간4)'!G27</f>
        <v>15.208333333333334</v>
      </c>
    </row>
    <row r="12" spans="1:9" ht="15.75" customHeight="1" thickBot="1">
      <c r="A12" s="6"/>
      <c r="B12" s="394"/>
      <c r="C12" s="35" t="s">
        <v>35</v>
      </c>
      <c r="D12" s="36">
        <f>SUM(D6:D11)</f>
        <v>2354236.9148351653</v>
      </c>
      <c r="E12" s="37">
        <f>SUM(E6:E11)</f>
        <v>9416947.659340661</v>
      </c>
      <c r="F12" s="37">
        <f>E12*12</f>
        <v>113003371.91208793</v>
      </c>
      <c r="G12" s="38"/>
      <c r="H12" s="6"/>
    </row>
    <row r="13" spans="1:9" ht="15.75" customHeight="1" thickBot="1">
      <c r="A13" s="6"/>
      <c r="B13" s="394"/>
      <c r="C13" s="39" t="s">
        <v>36</v>
      </c>
      <c r="D13" s="40">
        <f>D12/12</f>
        <v>196186.4095695971</v>
      </c>
      <c r="E13" s="41">
        <f>D13*4</f>
        <v>784745.63827838842</v>
      </c>
      <c r="F13" s="42">
        <f t="shared" si="1"/>
        <v>9416947.659340661</v>
      </c>
      <c r="G13" s="43" t="s">
        <v>37</v>
      </c>
      <c r="H13" s="6"/>
    </row>
    <row r="14" spans="1:9" ht="15.75" customHeight="1" thickBot="1">
      <c r="A14" s="6"/>
      <c r="B14" s="395"/>
      <c r="C14" s="44" t="s">
        <v>38</v>
      </c>
      <c r="D14" s="45">
        <f>SUM(D12:D13)</f>
        <v>2550423.3244047621</v>
      </c>
      <c r="E14" s="41">
        <f>E12+E13</f>
        <v>10201693.297619049</v>
      </c>
      <c r="F14" s="42">
        <f t="shared" si="1"/>
        <v>122420319.57142858</v>
      </c>
      <c r="G14" s="38"/>
      <c r="H14" s="6"/>
    </row>
    <row r="15" spans="1:9" ht="17.25">
      <c r="A15" s="6"/>
      <c r="B15" s="46"/>
      <c r="C15" s="47" t="s">
        <v>39</v>
      </c>
      <c r="D15" s="48">
        <v>0</v>
      </c>
      <c r="E15" s="25">
        <v>0</v>
      </c>
      <c r="F15" s="26">
        <f t="shared" si="1"/>
        <v>0</v>
      </c>
      <c r="G15" s="49" t="s">
        <v>166</v>
      </c>
      <c r="H15" s="6"/>
    </row>
    <row r="16" spans="1:9" ht="15.75" customHeight="1">
      <c r="A16" s="6"/>
      <c r="B16" s="344" t="s">
        <v>41</v>
      </c>
      <c r="C16" s="50" t="s">
        <v>42</v>
      </c>
      <c r="D16" s="51">
        <f>SUM(D12*I16)</f>
        <v>83457.698630906612</v>
      </c>
      <c r="E16" s="25">
        <f>D16*4</f>
        <v>333830.79452362645</v>
      </c>
      <c r="F16" s="26">
        <f t="shared" si="1"/>
        <v>4005969.5342835174</v>
      </c>
      <c r="G16" s="52" t="s">
        <v>102</v>
      </c>
      <c r="H16" s="101">
        <v>3.5450000000000002E-2</v>
      </c>
      <c r="I16" s="106">
        <v>3.5450000000000002E-2</v>
      </c>
    </row>
    <row r="17" spans="1:9" ht="15.75" customHeight="1">
      <c r="A17" s="6"/>
      <c r="B17" s="344"/>
      <c r="C17" s="50" t="s">
        <v>44</v>
      </c>
      <c r="D17" s="48">
        <f>SUM(D16*I17)</f>
        <v>10690.931194619136</v>
      </c>
      <c r="E17" s="25">
        <f t="shared" ref="E17:E22" si="2">D17*4</f>
        <v>42763.724778476542</v>
      </c>
      <c r="F17" s="26">
        <f t="shared" si="1"/>
        <v>513164.69734171848</v>
      </c>
      <c r="G17" s="53" t="s">
        <v>103</v>
      </c>
      <c r="H17" s="102" t="s">
        <v>104</v>
      </c>
      <c r="I17" s="105">
        <v>0.12809999999999999</v>
      </c>
    </row>
    <row r="18" spans="1:9" ht="15.75" customHeight="1">
      <c r="A18" s="6"/>
      <c r="B18" s="344"/>
      <c r="C18" s="54" t="s">
        <v>46</v>
      </c>
      <c r="D18" s="55">
        <f>SUM(D12*I18)</f>
        <v>27073.724520604399</v>
      </c>
      <c r="E18" s="25">
        <f t="shared" si="2"/>
        <v>108294.8980824176</v>
      </c>
      <c r="F18" s="26">
        <f t="shared" si="1"/>
        <v>1299538.7769890111</v>
      </c>
      <c r="G18" s="52" t="s">
        <v>105</v>
      </c>
      <c r="H18" s="102" t="s">
        <v>106</v>
      </c>
      <c r="I18" s="105">
        <v>1.15E-2</v>
      </c>
    </row>
    <row r="19" spans="1:9" ht="15.75" customHeight="1">
      <c r="A19" s="6"/>
      <c r="B19" s="344"/>
      <c r="C19" s="54" t="s">
        <v>48</v>
      </c>
      <c r="D19" s="55">
        <f>SUM(D12*I19)</f>
        <v>21188.132233516484</v>
      </c>
      <c r="E19" s="25">
        <f t="shared" si="2"/>
        <v>84752.528934065936</v>
      </c>
      <c r="F19" s="26">
        <f t="shared" si="1"/>
        <v>1017030.3472087912</v>
      </c>
      <c r="G19" s="53" t="s">
        <v>107</v>
      </c>
      <c r="H19" s="102" t="s">
        <v>108</v>
      </c>
      <c r="I19" s="104">
        <v>8.9999999999999993E-3</v>
      </c>
    </row>
    <row r="20" spans="1:9" ht="15.75" customHeight="1">
      <c r="A20" s="6"/>
      <c r="B20" s="344"/>
      <c r="C20" s="56" t="s">
        <v>50</v>
      </c>
      <c r="D20" s="57">
        <f>SUM(D12*I20)</f>
        <v>1412.5421489010989</v>
      </c>
      <c r="E20" s="25">
        <f t="shared" si="2"/>
        <v>5650.1685956043957</v>
      </c>
      <c r="F20" s="26">
        <f t="shared" si="1"/>
        <v>67802.023147252752</v>
      </c>
      <c r="G20" s="52" t="s">
        <v>109</v>
      </c>
      <c r="H20" s="103">
        <v>5.9999999999999995E-4</v>
      </c>
      <c r="I20" s="105">
        <v>5.9999999999999995E-4</v>
      </c>
    </row>
    <row r="21" spans="1:9" ht="15.75" customHeight="1">
      <c r="A21" s="6"/>
      <c r="B21" s="344"/>
      <c r="C21" s="56" t="s">
        <v>52</v>
      </c>
      <c r="D21" s="57">
        <v>20000</v>
      </c>
      <c r="E21" s="25">
        <f t="shared" si="2"/>
        <v>80000</v>
      </c>
      <c r="F21" s="26">
        <f t="shared" si="1"/>
        <v>960000</v>
      </c>
      <c r="G21" s="58" t="s">
        <v>53</v>
      </c>
      <c r="H21" s="6"/>
    </row>
    <row r="22" spans="1:9" ht="15.75" customHeight="1">
      <c r="A22" s="6"/>
      <c r="B22" s="344"/>
      <c r="C22" s="56" t="s">
        <v>54</v>
      </c>
      <c r="D22" s="57">
        <f>158400/12</f>
        <v>13200</v>
      </c>
      <c r="E22" s="25">
        <f t="shared" si="2"/>
        <v>52800</v>
      </c>
      <c r="F22" s="26">
        <f t="shared" si="1"/>
        <v>633600</v>
      </c>
      <c r="G22" s="58"/>
      <c r="H22" s="6"/>
    </row>
    <row r="23" spans="1:9" ht="15.75" customHeight="1" thickBot="1">
      <c r="A23" s="6"/>
      <c r="B23" s="344"/>
      <c r="C23" s="62" t="s">
        <v>57</v>
      </c>
      <c r="D23" s="63">
        <f>SUM(D15:D22)</f>
        <v>177023.02872854771</v>
      </c>
      <c r="E23" s="25">
        <f>SUM(E15:E22)</f>
        <v>708092.11491419084</v>
      </c>
      <c r="F23" s="64">
        <f>SUM(F15:F22)</f>
        <v>8497105.3789702915</v>
      </c>
      <c r="G23" s="65"/>
      <c r="H23" s="6"/>
    </row>
    <row r="24" spans="1:9" ht="15.75" customHeight="1" thickBot="1">
      <c r="A24" s="6"/>
      <c r="B24" s="396" t="s">
        <v>58</v>
      </c>
      <c r="C24" s="397"/>
      <c r="D24" s="45"/>
      <c r="E24" s="41"/>
      <c r="F24" s="42">
        <f>F14+F23</f>
        <v>130917424.95039888</v>
      </c>
      <c r="G24" s="66"/>
      <c r="H24" s="6"/>
    </row>
    <row r="25" spans="1:9" ht="15.75" customHeight="1" thickBot="1">
      <c r="A25" s="6"/>
      <c r="B25" s="388" t="s">
        <v>59</v>
      </c>
      <c r="C25" s="389"/>
      <c r="D25" s="67"/>
      <c r="E25" s="41"/>
      <c r="F25" s="42">
        <f>F24*I25</f>
        <v>0</v>
      </c>
      <c r="G25" s="66" t="s">
        <v>158</v>
      </c>
      <c r="H25" s="6"/>
      <c r="I25" s="154">
        <v>0</v>
      </c>
    </row>
    <row r="26" spans="1:9" ht="15.75" customHeight="1" thickBot="1">
      <c r="A26" s="6"/>
      <c r="B26" s="379" t="s">
        <v>61</v>
      </c>
      <c r="C26" s="380"/>
      <c r="D26" s="68"/>
      <c r="E26" s="69"/>
      <c r="F26" s="42">
        <f>(F24+F25)*I26</f>
        <v>0</v>
      </c>
      <c r="G26" s="70" t="s">
        <v>159</v>
      </c>
      <c r="H26" s="6"/>
      <c r="I26" s="154">
        <v>0</v>
      </c>
    </row>
    <row r="27" spans="1:9" ht="21" thickBot="1">
      <c r="A27" s="6"/>
      <c r="B27" s="381" t="s">
        <v>63</v>
      </c>
      <c r="C27" s="382"/>
      <c r="D27" s="71"/>
      <c r="E27" s="72"/>
      <c r="F27" s="73">
        <f>SUM(F24:F26)</f>
        <v>130917424.95039888</v>
      </c>
      <c r="G27" s="74"/>
      <c r="H27" s="6"/>
    </row>
    <row r="28" spans="1:9" ht="21" thickBot="1">
      <c r="A28" s="6"/>
      <c r="B28" s="383" t="s">
        <v>64</v>
      </c>
      <c r="C28" s="384"/>
      <c r="D28" s="75"/>
      <c r="E28" s="76"/>
      <c r="F28" s="72">
        <f>F27*10%</f>
        <v>13091742.495039888</v>
      </c>
      <c r="G28" s="77"/>
      <c r="H28" s="6"/>
    </row>
    <row r="29" spans="1:9" ht="26.25">
      <c r="A29" s="78"/>
      <c r="B29" s="79"/>
      <c r="C29" s="80"/>
      <c r="D29" s="385" t="s">
        <v>65</v>
      </c>
      <c r="E29" s="385"/>
      <c r="F29" s="385"/>
      <c r="G29" s="81">
        <f>F27</f>
        <v>130917424.95039888</v>
      </c>
      <c r="H29" s="78"/>
    </row>
    <row r="30" spans="1:9" ht="27" thickBot="1">
      <c r="A30" s="78"/>
      <c r="B30" s="386" t="s">
        <v>66</v>
      </c>
      <c r="C30" s="387"/>
      <c r="D30" s="387"/>
      <c r="E30" s="387"/>
      <c r="F30" s="387"/>
      <c r="G30" s="82">
        <f>F27+F28</f>
        <v>144009167.44543877</v>
      </c>
      <c r="H30" s="78"/>
    </row>
    <row r="31" spans="1:9">
      <c r="A31" s="6"/>
      <c r="B31" s="83"/>
      <c r="C31" s="83"/>
      <c r="D31" s="83"/>
      <c r="E31" s="84"/>
      <c r="F31" s="85"/>
      <c r="G31" s="85"/>
      <c r="H31" s="6"/>
    </row>
    <row r="32" spans="1:9" ht="20.25">
      <c r="A32" s="6"/>
      <c r="B32" s="86"/>
      <c r="C32" s="86"/>
      <c r="D32" s="86"/>
      <c r="E32" s="86"/>
      <c r="F32" s="86"/>
      <c r="G32" s="87"/>
      <c r="H32" s="6"/>
    </row>
  </sheetData>
  <mergeCells count="11">
    <mergeCell ref="B25:C25"/>
    <mergeCell ref="B3:C3"/>
    <mergeCell ref="H3:I3"/>
    <mergeCell ref="B4:B14"/>
    <mergeCell ref="B16:B23"/>
    <mergeCell ref="B24:C24"/>
    <mergeCell ref="B26:C26"/>
    <mergeCell ref="B27:C27"/>
    <mergeCell ref="B28:C28"/>
    <mergeCell ref="D29:F29"/>
    <mergeCell ref="B30:F30"/>
  </mergeCells>
  <phoneticPr fontId="2" type="noConversion"/>
  <pageMargins left="0.7" right="0.7" top="0.75" bottom="0.75" header="0.3" footer="0.3"/>
  <pageSetup paperSize="9" scale="62" fitToHeight="0" orientation="landscape" r:id="rId1"/>
  <ignoredErrors>
    <ignoredError sqref="E12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J23"/>
  <sheetViews>
    <sheetView workbookViewId="0">
      <selection activeCell="A5" sqref="A5"/>
    </sheetView>
  </sheetViews>
  <sheetFormatPr defaultRowHeight="16.5"/>
  <cols>
    <col min="1" max="16384" width="9" style="1"/>
  </cols>
  <sheetData>
    <row r="1" spans="1:36">
      <c r="B1" s="1">
        <v>1</v>
      </c>
      <c r="C1" s="1">
        <v>2</v>
      </c>
      <c r="D1" s="1">
        <v>3</v>
      </c>
      <c r="E1" s="1">
        <v>4</v>
      </c>
      <c r="F1" s="1">
        <v>5</v>
      </c>
      <c r="G1" s="2">
        <v>6</v>
      </c>
      <c r="H1" s="2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2">
        <v>13</v>
      </c>
      <c r="O1" s="2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2">
        <v>20</v>
      </c>
      <c r="V1" s="2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2">
        <v>27</v>
      </c>
      <c r="AC1" s="2">
        <v>28</v>
      </c>
      <c r="AD1" s="1">
        <v>29</v>
      </c>
      <c r="AE1" s="1">
        <v>30</v>
      </c>
      <c r="AF1" s="1">
        <v>31</v>
      </c>
    </row>
    <row r="2" spans="1:36">
      <c r="A2" s="1" t="s">
        <v>1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2" t="s">
        <v>5</v>
      </c>
      <c r="H2" s="2" t="s">
        <v>5</v>
      </c>
      <c r="I2" s="1" t="s">
        <v>6</v>
      </c>
      <c r="J2" s="1" t="s">
        <v>6</v>
      </c>
      <c r="K2" s="1" t="s">
        <v>6</v>
      </c>
      <c r="L2" s="1" t="s">
        <v>6</v>
      </c>
      <c r="M2" s="1" t="s">
        <v>6</v>
      </c>
      <c r="N2" s="2" t="s">
        <v>7</v>
      </c>
      <c r="O2" s="2" t="s">
        <v>5</v>
      </c>
      <c r="P2" s="1" t="s">
        <v>8</v>
      </c>
      <c r="Q2" s="1" t="s">
        <v>8</v>
      </c>
      <c r="R2" s="1" t="s">
        <v>8</v>
      </c>
      <c r="S2" s="1" t="s">
        <v>8</v>
      </c>
      <c r="T2" s="1" t="s">
        <v>8</v>
      </c>
      <c r="U2" s="2" t="s">
        <v>5</v>
      </c>
      <c r="V2" s="2" t="s">
        <v>7</v>
      </c>
      <c r="W2" s="1" t="s">
        <v>9</v>
      </c>
      <c r="X2" s="1" t="s">
        <v>9</v>
      </c>
      <c r="Y2" s="1" t="s">
        <v>9</v>
      </c>
      <c r="Z2" s="1" t="s">
        <v>9</v>
      </c>
      <c r="AA2" s="1" t="s">
        <v>9</v>
      </c>
      <c r="AB2" s="2" t="s">
        <v>5</v>
      </c>
      <c r="AC2" s="2" t="s">
        <v>5</v>
      </c>
      <c r="AD2" s="1" t="s">
        <v>0</v>
      </c>
      <c r="AE2" s="1" t="s">
        <v>0</v>
      </c>
      <c r="AF2" s="1" t="s">
        <v>0</v>
      </c>
    </row>
    <row r="3" spans="1:36">
      <c r="A3" s="1" t="s">
        <v>2</v>
      </c>
      <c r="B3" s="1" t="s">
        <v>6</v>
      </c>
      <c r="C3" s="1" t="s">
        <v>6</v>
      </c>
      <c r="D3" s="1" t="s">
        <v>6</v>
      </c>
      <c r="E3" s="1" t="s">
        <v>6</v>
      </c>
      <c r="F3" s="1" t="s">
        <v>6</v>
      </c>
      <c r="G3" s="2" t="s">
        <v>7</v>
      </c>
      <c r="H3" s="2" t="s">
        <v>5</v>
      </c>
      <c r="I3" s="1" t="s">
        <v>8</v>
      </c>
      <c r="J3" s="1" t="s">
        <v>8</v>
      </c>
      <c r="K3" s="1" t="s">
        <v>8</v>
      </c>
      <c r="L3" s="1" t="s">
        <v>8</v>
      </c>
      <c r="M3" s="1" t="s">
        <v>8</v>
      </c>
      <c r="N3" s="2" t="s">
        <v>5</v>
      </c>
      <c r="O3" s="2" t="s">
        <v>7</v>
      </c>
      <c r="P3" s="1" t="s">
        <v>9</v>
      </c>
      <c r="Q3" s="1" t="s">
        <v>9</v>
      </c>
      <c r="R3" s="1" t="s">
        <v>9</v>
      </c>
      <c r="S3" s="1" t="s">
        <v>9</v>
      </c>
      <c r="T3" s="1" t="s">
        <v>9</v>
      </c>
      <c r="U3" s="2" t="s">
        <v>5</v>
      </c>
      <c r="V3" s="2" t="s">
        <v>5</v>
      </c>
      <c r="W3" s="1" t="s">
        <v>0</v>
      </c>
      <c r="X3" s="1" t="s">
        <v>0</v>
      </c>
      <c r="Y3" s="1" t="s">
        <v>0</v>
      </c>
      <c r="Z3" s="1" t="s">
        <v>0</v>
      </c>
      <c r="AA3" s="1" t="s">
        <v>0</v>
      </c>
      <c r="AB3" s="2" t="s">
        <v>5</v>
      </c>
      <c r="AC3" s="2" t="s">
        <v>5</v>
      </c>
      <c r="AD3" s="1" t="s">
        <v>6</v>
      </c>
      <c r="AE3" s="1" t="s">
        <v>6</v>
      </c>
      <c r="AF3" s="1" t="s">
        <v>6</v>
      </c>
    </row>
    <row r="4" spans="1:36">
      <c r="A4" s="1" t="s">
        <v>3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2" t="s">
        <v>5</v>
      </c>
      <c r="H4" s="2" t="s">
        <v>7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9</v>
      </c>
      <c r="N4" s="2" t="s">
        <v>5</v>
      </c>
      <c r="O4" s="2" t="s">
        <v>5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2" t="s">
        <v>5</v>
      </c>
      <c r="V4" s="2" t="s">
        <v>5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2" t="s">
        <v>7</v>
      </c>
      <c r="AC4" s="2" t="s">
        <v>5</v>
      </c>
      <c r="AD4" s="1" t="s">
        <v>8</v>
      </c>
      <c r="AE4" s="1" t="s">
        <v>8</v>
      </c>
      <c r="AF4" s="1" t="s">
        <v>8</v>
      </c>
      <c r="AI4" s="2"/>
      <c r="AJ4" s="2"/>
    </row>
    <row r="5" spans="1:36">
      <c r="A5" s="1" t="s">
        <v>4</v>
      </c>
      <c r="B5" s="1" t="s">
        <v>9</v>
      </c>
      <c r="C5" s="1" t="s">
        <v>9</v>
      </c>
      <c r="D5" s="1" t="s">
        <v>9</v>
      </c>
      <c r="E5" s="1" t="s">
        <v>9</v>
      </c>
      <c r="F5" s="1" t="s">
        <v>9</v>
      </c>
      <c r="G5" s="2" t="s">
        <v>5</v>
      </c>
      <c r="H5" s="2" t="s">
        <v>5</v>
      </c>
      <c r="I5" s="1" t="s">
        <v>0</v>
      </c>
      <c r="J5" s="1" t="s">
        <v>0</v>
      </c>
      <c r="K5" s="1" t="s">
        <v>0</v>
      </c>
      <c r="L5" s="1" t="s">
        <v>0</v>
      </c>
      <c r="M5" s="1" t="s">
        <v>0</v>
      </c>
      <c r="N5" s="2" t="s">
        <v>5</v>
      </c>
      <c r="O5" s="2" t="s">
        <v>5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2" t="s">
        <v>7</v>
      </c>
      <c r="V5" s="2" t="s">
        <v>5</v>
      </c>
      <c r="W5" s="1" t="s">
        <v>8</v>
      </c>
      <c r="X5" s="1" t="s">
        <v>8</v>
      </c>
      <c r="Y5" s="1" t="s">
        <v>8</v>
      </c>
      <c r="Z5" s="1" t="s">
        <v>8</v>
      </c>
      <c r="AA5" s="1" t="s">
        <v>8</v>
      </c>
      <c r="AB5" s="2" t="s">
        <v>5</v>
      </c>
      <c r="AC5" s="2" t="s">
        <v>7</v>
      </c>
      <c r="AD5" s="1" t="s">
        <v>9</v>
      </c>
      <c r="AE5" s="1" t="s">
        <v>9</v>
      </c>
      <c r="AF5" s="1" t="s">
        <v>9</v>
      </c>
    </row>
    <row r="7" spans="1:36">
      <c r="A7" s="3"/>
      <c r="B7" s="3" t="s">
        <v>11</v>
      </c>
      <c r="C7" s="3" t="s">
        <v>10</v>
      </c>
      <c r="D7" s="3" t="s">
        <v>12</v>
      </c>
      <c r="E7" s="3" t="s">
        <v>9</v>
      </c>
      <c r="F7" s="5" t="s">
        <v>15</v>
      </c>
    </row>
    <row r="8" spans="1:36">
      <c r="A8" s="3" t="s">
        <v>0</v>
      </c>
      <c r="B8" s="3">
        <f>C8+D8</f>
        <v>10</v>
      </c>
      <c r="C8" s="3">
        <v>9</v>
      </c>
      <c r="D8" s="3">
        <v>1</v>
      </c>
      <c r="E8" s="3"/>
    </row>
    <row r="9" spans="1:36">
      <c r="A9" s="3" t="s">
        <v>6</v>
      </c>
      <c r="B9" s="3">
        <f>C9+D9</f>
        <v>6.5</v>
      </c>
      <c r="C9" s="3">
        <v>6</v>
      </c>
      <c r="D9" s="3">
        <v>0.5</v>
      </c>
      <c r="E9" s="3"/>
    </row>
    <row r="10" spans="1:36">
      <c r="A10" s="3" t="s">
        <v>8</v>
      </c>
      <c r="B10" s="3">
        <f>C10+D10</f>
        <v>6.5</v>
      </c>
      <c r="C10" s="3">
        <v>5</v>
      </c>
      <c r="D10" s="3">
        <v>1.5</v>
      </c>
      <c r="E10" s="3"/>
    </row>
    <row r="11" spans="1:36">
      <c r="A11" s="3" t="s">
        <v>9</v>
      </c>
      <c r="B11" s="3">
        <f>C11+D11</f>
        <v>11</v>
      </c>
      <c r="C11" s="3">
        <v>5</v>
      </c>
      <c r="D11" s="3">
        <v>6</v>
      </c>
      <c r="E11" s="3">
        <v>4</v>
      </c>
    </row>
    <row r="12" spans="1:36">
      <c r="A12" s="3" t="s">
        <v>7</v>
      </c>
      <c r="B12" s="3">
        <f>C12+D12</f>
        <v>24</v>
      </c>
      <c r="C12" s="3">
        <v>16</v>
      </c>
      <c r="D12" s="3">
        <v>8</v>
      </c>
      <c r="E12" s="3">
        <v>4</v>
      </c>
    </row>
    <row r="13" spans="1:36">
      <c r="A13" s="3" t="s">
        <v>14</v>
      </c>
      <c r="B13" s="3"/>
      <c r="C13" s="3">
        <f>SUM(C8:C12)</f>
        <v>41</v>
      </c>
      <c r="D13" s="3"/>
      <c r="E13" s="3"/>
    </row>
    <row r="15" spans="1:36">
      <c r="A15" s="3"/>
      <c r="B15" s="3" t="s">
        <v>0</v>
      </c>
      <c r="C15" s="3" t="s">
        <v>6</v>
      </c>
      <c r="D15" s="3" t="s">
        <v>8</v>
      </c>
      <c r="E15" s="3" t="s">
        <v>9</v>
      </c>
      <c r="F15" s="3" t="s">
        <v>7</v>
      </c>
      <c r="G15" s="3" t="s">
        <v>14</v>
      </c>
    </row>
    <row r="16" spans="1:36">
      <c r="A16" s="3" t="s">
        <v>1</v>
      </c>
      <c r="B16" s="3">
        <f>COUNTIF($B$2:$AF$2,$B$15)</f>
        <v>8</v>
      </c>
      <c r="C16" s="3">
        <f>COUNTIF($B$2:$AF$2,$C$15)</f>
        <v>5</v>
      </c>
      <c r="D16" s="3">
        <f>COUNTIF($B$2:$AF$2,$D$15)</f>
        <v>5</v>
      </c>
      <c r="E16" s="3">
        <f>COUNTIF($B$2:$AF$2,$E$15)</f>
        <v>5</v>
      </c>
      <c r="F16" s="3">
        <f>COUNTIF($B$2:$AF$2,$F$15)</f>
        <v>2</v>
      </c>
      <c r="G16" s="3"/>
    </row>
    <row r="17" spans="1:7">
      <c r="A17" s="3" t="s">
        <v>13</v>
      </c>
      <c r="B17" s="3">
        <f>$C$8*B16</f>
        <v>72</v>
      </c>
      <c r="C17" s="3">
        <f>$C$9*C16</f>
        <v>30</v>
      </c>
      <c r="D17" s="3">
        <f>$C$10*D16</f>
        <v>25</v>
      </c>
      <c r="E17" s="3">
        <f>$C$11*E16</f>
        <v>25</v>
      </c>
      <c r="F17" s="3">
        <f>$C$12*F16</f>
        <v>32</v>
      </c>
      <c r="G17" s="4">
        <f>SUM(B17:F17)</f>
        <v>184</v>
      </c>
    </row>
    <row r="18" spans="1:7">
      <c r="A18" s="3" t="s">
        <v>2</v>
      </c>
      <c r="B18" s="3">
        <f>COUNTIF($B$3:$AF$3,$B$15)</f>
        <v>5</v>
      </c>
      <c r="C18" s="3">
        <f>COUNTIF($B$3:$AF$3,$C$15)</f>
        <v>8</v>
      </c>
      <c r="D18" s="3">
        <f>COUNTIF($B$3:$AF$3,$D$15)</f>
        <v>5</v>
      </c>
      <c r="E18" s="3">
        <f>COUNTIF($B$3:$AF$3,$E$15)</f>
        <v>5</v>
      </c>
      <c r="F18" s="3">
        <f>COUNTIF($B$3:$AF$3,$F$15)</f>
        <v>2</v>
      </c>
      <c r="G18" s="3"/>
    </row>
    <row r="19" spans="1:7">
      <c r="A19" s="3" t="s">
        <v>13</v>
      </c>
      <c r="B19" s="3">
        <f>$C$8*B18</f>
        <v>45</v>
      </c>
      <c r="C19" s="3">
        <f>$C$9*C18</f>
        <v>48</v>
      </c>
      <c r="D19" s="3">
        <f>$C$10*D18</f>
        <v>25</v>
      </c>
      <c r="E19" s="3">
        <f>$C$11*E18</f>
        <v>25</v>
      </c>
      <c r="F19" s="3">
        <f>$C$12*F18</f>
        <v>32</v>
      </c>
      <c r="G19" s="4">
        <f>SUM(B19:F19)</f>
        <v>175</v>
      </c>
    </row>
    <row r="20" spans="1:7">
      <c r="A20" s="3" t="s">
        <v>3</v>
      </c>
      <c r="B20" s="3">
        <f>COUNTIF($B$4:$AF$4,$B$15)</f>
        <v>5</v>
      </c>
      <c r="C20" s="3">
        <f>COUNTIF($B$4:$AF$4,$C$15)</f>
        <v>5</v>
      </c>
      <c r="D20" s="3">
        <f>COUNTIF($B$4:$AF$4,$D$15)</f>
        <v>8</v>
      </c>
      <c r="E20" s="3">
        <f>COUNTIF($B$4:$AF$4,$E$15)</f>
        <v>5</v>
      </c>
      <c r="F20" s="3">
        <f>COUNTIF($B$4:$AF$4,$F$15)</f>
        <v>2</v>
      </c>
      <c r="G20" s="3"/>
    </row>
    <row r="21" spans="1:7">
      <c r="A21" s="3" t="s">
        <v>13</v>
      </c>
      <c r="B21" s="3">
        <f>$C$8*B20</f>
        <v>45</v>
      </c>
      <c r="C21" s="3">
        <f>$C$9*C20</f>
        <v>30</v>
      </c>
      <c r="D21" s="3">
        <f>$C$10*D20</f>
        <v>40</v>
      </c>
      <c r="E21" s="3">
        <f>$C$11*E20</f>
        <v>25</v>
      </c>
      <c r="F21" s="3">
        <f>$C$12*F20</f>
        <v>32</v>
      </c>
      <c r="G21" s="4">
        <f>SUM(B21:F21)</f>
        <v>172</v>
      </c>
    </row>
    <row r="22" spans="1:7">
      <c r="A22" s="3" t="s">
        <v>4</v>
      </c>
      <c r="B22" s="3">
        <f>COUNTIF($B$5:$AF$5,$B$15)</f>
        <v>5</v>
      </c>
      <c r="C22" s="3">
        <f>COUNTIF($B$5:$AF$5,$C$15)</f>
        <v>5</v>
      </c>
      <c r="D22" s="3">
        <f>COUNTIF($B$5:$AF$5,$D$15)</f>
        <v>5</v>
      </c>
      <c r="E22" s="3">
        <f>COUNTIF($B$5:$AF$5,$E$15)</f>
        <v>8</v>
      </c>
      <c r="F22" s="3">
        <f>COUNTIF($B$5:$AF$5,$F$15)</f>
        <v>2</v>
      </c>
      <c r="G22" s="3"/>
    </row>
    <row r="23" spans="1:7">
      <c r="A23" s="3" t="s">
        <v>13</v>
      </c>
      <c r="B23" s="3">
        <f>$C$8*B22</f>
        <v>45</v>
      </c>
      <c r="C23" s="3">
        <f>$C$9*C22</f>
        <v>30</v>
      </c>
      <c r="D23" s="3">
        <f>$C$10*D22</f>
        <v>25</v>
      </c>
      <c r="E23" s="3">
        <f>$C$11*E22</f>
        <v>40</v>
      </c>
      <c r="F23" s="3">
        <f>$C$12*F22</f>
        <v>32</v>
      </c>
      <c r="G23" s="4">
        <f>SUM(B23:F23)</f>
        <v>172</v>
      </c>
    </row>
  </sheetData>
  <phoneticPr fontId="2" type="noConversion"/>
  <pageMargins left="0.7" right="0.7" top="0.75" bottom="0.75" header="0.3" footer="0.3"/>
  <ignoredErrors>
    <ignoredError sqref="B18:F18 B20 B22 C20:C22 D20:F22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zoomScale="85" zoomScaleNormal="85" workbookViewId="0">
      <selection activeCell="A5" sqref="A5"/>
    </sheetView>
  </sheetViews>
  <sheetFormatPr defaultRowHeight="16.5"/>
  <cols>
    <col min="1" max="1" width="2" customWidth="1"/>
    <col min="2" max="2" width="11.25" customWidth="1"/>
    <col min="3" max="5" width="16.25" customWidth="1"/>
    <col min="6" max="6" width="18.125" bestFit="1" customWidth="1"/>
    <col min="7" max="7" width="43" customWidth="1"/>
  </cols>
  <sheetData>
    <row r="1" spans="1:8" ht="26.25">
      <c r="A1" s="6"/>
      <c r="B1" s="7"/>
      <c r="C1" s="7"/>
      <c r="D1" s="7"/>
      <c r="E1" s="8"/>
      <c r="F1" s="8"/>
      <c r="G1" s="8"/>
      <c r="H1" s="6"/>
    </row>
    <row r="2" spans="1:8" ht="28.5" customHeight="1" thickBot="1">
      <c r="A2" s="6"/>
      <c r="B2" s="9" t="s">
        <v>16</v>
      </c>
      <c r="C2" s="6"/>
      <c r="D2" s="6"/>
      <c r="E2" s="10"/>
      <c r="F2" s="10"/>
      <c r="G2" s="11" t="s">
        <v>17</v>
      </c>
      <c r="H2" s="6"/>
    </row>
    <row r="3" spans="1:8" ht="35.25" thickBot="1">
      <c r="A3" s="6"/>
      <c r="B3" s="390" t="s">
        <v>18</v>
      </c>
      <c r="C3" s="391"/>
      <c r="D3" s="12" t="s">
        <v>19</v>
      </c>
      <c r="E3" s="13" t="s">
        <v>20</v>
      </c>
      <c r="F3" s="13" t="s">
        <v>21</v>
      </c>
      <c r="G3" s="14" t="s">
        <v>22</v>
      </c>
      <c r="H3" s="6"/>
    </row>
    <row r="4" spans="1:8" ht="15.75" customHeight="1" thickTop="1">
      <c r="A4" s="6"/>
      <c r="B4" s="393" t="s">
        <v>23</v>
      </c>
      <c r="C4" s="15" t="s">
        <v>24</v>
      </c>
      <c r="D4" s="16">
        <v>10578</v>
      </c>
      <c r="E4" s="17"/>
      <c r="F4" s="18"/>
      <c r="G4" s="19" t="s">
        <v>67</v>
      </c>
      <c r="H4" s="6"/>
    </row>
    <row r="5" spans="1:8" ht="15.75" customHeight="1">
      <c r="A5" s="6"/>
      <c r="B5" s="394"/>
      <c r="C5" s="20" t="s">
        <v>25</v>
      </c>
      <c r="D5" s="88">
        <v>170.56</v>
      </c>
      <c r="E5" s="21"/>
      <c r="F5" s="22"/>
      <c r="G5" s="23"/>
      <c r="H5" s="6"/>
    </row>
    <row r="6" spans="1:8" ht="15.75" customHeight="1">
      <c r="A6" s="6"/>
      <c r="B6" s="394"/>
      <c r="C6" s="20" t="s">
        <v>26</v>
      </c>
      <c r="D6" s="24">
        <f>D4*D5</f>
        <v>1804183.68</v>
      </c>
      <c r="E6" s="25">
        <f>D6*4</f>
        <v>7216734.7199999997</v>
      </c>
      <c r="F6" s="26">
        <f>E6*12</f>
        <v>86600816.640000001</v>
      </c>
      <c r="G6" s="27"/>
      <c r="H6" s="6"/>
    </row>
    <row r="7" spans="1:8" ht="15.75" customHeight="1">
      <c r="A7" s="6"/>
      <c r="B7" s="394"/>
      <c r="C7" s="20" t="s">
        <v>27</v>
      </c>
      <c r="D7" s="24">
        <f>D4*28/28*365/12*0.5</f>
        <v>160873.75</v>
      </c>
      <c r="E7" s="25">
        <f>D7*4</f>
        <v>643495</v>
      </c>
      <c r="F7" s="26">
        <f>E7*12</f>
        <v>7721940</v>
      </c>
      <c r="G7" s="28"/>
      <c r="H7" s="6"/>
    </row>
    <row r="8" spans="1:8" ht="15.75" customHeight="1">
      <c r="A8" s="6"/>
      <c r="B8" s="394"/>
      <c r="C8" s="20" t="s">
        <v>28</v>
      </c>
      <c r="D8" s="24">
        <f>(D4*1*8)/12</f>
        <v>7052</v>
      </c>
      <c r="E8" s="25">
        <f>D8*4</f>
        <v>28208</v>
      </c>
      <c r="F8" s="26">
        <f>E8*12</f>
        <v>338496</v>
      </c>
      <c r="G8" s="28"/>
      <c r="H8" s="6"/>
    </row>
    <row r="9" spans="1:8" ht="15.75" customHeight="1">
      <c r="A9" s="6"/>
      <c r="B9" s="394"/>
      <c r="C9" s="20" t="s">
        <v>29</v>
      </c>
      <c r="D9" s="29"/>
      <c r="E9" s="25">
        <f t="shared" ref="E9:E14" si="0">D9*4</f>
        <v>0</v>
      </c>
      <c r="F9" s="26">
        <f t="shared" ref="F9:F26" si="1">E9*12</f>
        <v>0</v>
      </c>
      <c r="G9" s="28"/>
      <c r="H9" s="6"/>
    </row>
    <row r="10" spans="1:8" ht="15.75" customHeight="1">
      <c r="A10" s="6"/>
      <c r="B10" s="394"/>
      <c r="C10" s="20" t="s">
        <v>30</v>
      </c>
      <c r="D10" s="29">
        <f>((D6+D9+D11+D12+D13)/D5)*8*15/12</f>
        <v>105780</v>
      </c>
      <c r="E10" s="25">
        <f t="shared" si="0"/>
        <v>423120</v>
      </c>
      <c r="F10" s="26">
        <f>E10*12</f>
        <v>5077440</v>
      </c>
      <c r="G10" s="28"/>
      <c r="H10" s="6"/>
    </row>
    <row r="11" spans="1:8" ht="15.75" customHeight="1">
      <c r="A11" s="6"/>
      <c r="B11" s="394"/>
      <c r="C11" s="20" t="s">
        <v>31</v>
      </c>
      <c r="D11" s="24">
        <v>0</v>
      </c>
      <c r="E11" s="25">
        <f t="shared" si="0"/>
        <v>0</v>
      </c>
      <c r="F11" s="26">
        <f t="shared" si="1"/>
        <v>0</v>
      </c>
      <c r="G11" s="28"/>
      <c r="H11" s="6"/>
    </row>
    <row r="12" spans="1:8" ht="15.75" customHeight="1">
      <c r="A12" s="6"/>
      <c r="B12" s="394"/>
      <c r="C12" s="20" t="s">
        <v>32</v>
      </c>
      <c r="D12" s="24">
        <v>0</v>
      </c>
      <c r="E12" s="25">
        <f t="shared" si="0"/>
        <v>0</v>
      </c>
      <c r="F12" s="26">
        <f t="shared" si="1"/>
        <v>0</v>
      </c>
      <c r="G12" s="30"/>
      <c r="H12" s="6"/>
    </row>
    <row r="13" spans="1:8" ht="15.75" customHeight="1">
      <c r="A13" s="6"/>
      <c r="B13" s="394"/>
      <c r="C13" s="20" t="s">
        <v>33</v>
      </c>
      <c r="D13" s="31"/>
      <c r="E13" s="25">
        <f t="shared" si="0"/>
        <v>0</v>
      </c>
      <c r="F13" s="26">
        <f t="shared" si="1"/>
        <v>0</v>
      </c>
      <c r="G13" s="32"/>
      <c r="H13" s="6"/>
    </row>
    <row r="14" spans="1:8" ht="15.75" customHeight="1" thickBot="1">
      <c r="A14" s="6"/>
      <c r="B14" s="394"/>
      <c r="C14" s="20" t="s">
        <v>34</v>
      </c>
      <c r="D14" s="29">
        <v>0</v>
      </c>
      <c r="E14" s="25">
        <f t="shared" si="0"/>
        <v>0</v>
      </c>
      <c r="F14" s="33">
        <f t="shared" si="1"/>
        <v>0</v>
      </c>
      <c r="G14" s="34"/>
      <c r="H14" s="6"/>
    </row>
    <row r="15" spans="1:8" ht="15.75" customHeight="1" thickBot="1">
      <c r="A15" s="6"/>
      <c r="B15" s="394"/>
      <c r="C15" s="35" t="s">
        <v>35</v>
      </c>
      <c r="D15" s="36">
        <f>SUM(D6:D14)</f>
        <v>2077889.43</v>
      </c>
      <c r="E15" s="37">
        <f>SUM(E6:E14)</f>
        <v>8311557.7199999997</v>
      </c>
      <c r="F15" s="37">
        <f>E15*12</f>
        <v>99738692.640000001</v>
      </c>
      <c r="G15" s="38"/>
      <c r="H15" s="6"/>
    </row>
    <row r="16" spans="1:8" ht="15.75" customHeight="1" thickBot="1">
      <c r="A16" s="6"/>
      <c r="B16" s="394"/>
      <c r="C16" s="39" t="s">
        <v>36</v>
      </c>
      <c r="D16" s="40">
        <f>D15/12</f>
        <v>173157.45249999998</v>
      </c>
      <c r="E16" s="41">
        <f>D16*4</f>
        <v>692629.80999999994</v>
      </c>
      <c r="F16" s="42">
        <f t="shared" si="1"/>
        <v>8311557.7199999988</v>
      </c>
      <c r="G16" s="43" t="s">
        <v>37</v>
      </c>
      <c r="H16" s="6"/>
    </row>
    <row r="17" spans="1:8" ht="15.75" customHeight="1" thickBot="1">
      <c r="A17" s="6"/>
      <c r="B17" s="395"/>
      <c r="C17" s="44" t="s">
        <v>38</v>
      </c>
      <c r="D17" s="45">
        <f>SUM(D15:D16)</f>
        <v>2251046.8824999998</v>
      </c>
      <c r="E17" s="41">
        <f>E15+E16</f>
        <v>9004187.5299999993</v>
      </c>
      <c r="F17" s="42">
        <f t="shared" si="1"/>
        <v>108050250.35999998</v>
      </c>
      <c r="G17" s="38"/>
      <c r="H17" s="6"/>
    </row>
    <row r="18" spans="1:8" ht="15.75" customHeight="1">
      <c r="A18" s="6"/>
      <c r="B18" s="46"/>
      <c r="C18" s="47" t="s">
        <v>39</v>
      </c>
      <c r="D18" s="48">
        <v>0</v>
      </c>
      <c r="E18" s="25">
        <v>0</v>
      </c>
      <c r="F18" s="26">
        <f t="shared" si="1"/>
        <v>0</v>
      </c>
      <c r="G18" s="49" t="s">
        <v>40</v>
      </c>
      <c r="H18" s="6"/>
    </row>
    <row r="19" spans="1:8" ht="15.75" customHeight="1">
      <c r="A19" s="6"/>
      <c r="B19" s="344" t="s">
        <v>41</v>
      </c>
      <c r="C19" s="50" t="s">
        <v>42</v>
      </c>
      <c r="D19" s="51">
        <f>SUM(D15*3.495%)</f>
        <v>72622.235578499996</v>
      </c>
      <c r="E19" s="25">
        <f>D19*4</f>
        <v>290488.94231399999</v>
      </c>
      <c r="F19" s="26">
        <f t="shared" si="1"/>
        <v>3485867.3077679998</v>
      </c>
      <c r="G19" s="52" t="s">
        <v>43</v>
      </c>
      <c r="H19" s="6"/>
    </row>
    <row r="20" spans="1:8" ht="15.75" customHeight="1">
      <c r="A20" s="6"/>
      <c r="B20" s="344"/>
      <c r="C20" s="50" t="s">
        <v>44</v>
      </c>
      <c r="D20" s="48">
        <f>SUM(D19*12.27%)</f>
        <v>8910.7483054819495</v>
      </c>
      <c r="E20" s="25">
        <f t="shared" ref="E20:E25" si="2">D20*4</f>
        <v>35642.993221927798</v>
      </c>
      <c r="F20" s="26">
        <f t="shared" si="1"/>
        <v>427715.91866313358</v>
      </c>
      <c r="G20" s="53" t="s">
        <v>45</v>
      </c>
      <c r="H20" s="6"/>
    </row>
    <row r="21" spans="1:8" ht="15.75" customHeight="1">
      <c r="A21" s="6"/>
      <c r="B21" s="344"/>
      <c r="C21" s="54" t="s">
        <v>46</v>
      </c>
      <c r="D21" s="55">
        <f>SUM(D15*1.15%)</f>
        <v>23895.728445000001</v>
      </c>
      <c r="E21" s="25">
        <f t="shared" si="2"/>
        <v>95582.913780000003</v>
      </c>
      <c r="F21" s="26">
        <f t="shared" si="1"/>
        <v>1146994.96536</v>
      </c>
      <c r="G21" s="52" t="s">
        <v>47</v>
      </c>
      <c r="H21" s="6"/>
    </row>
    <row r="22" spans="1:8" ht="15.75" customHeight="1">
      <c r="A22" s="6"/>
      <c r="B22" s="344"/>
      <c r="C22" s="54" t="s">
        <v>48</v>
      </c>
      <c r="D22" s="55">
        <f>SUM(D15*9/1000)</f>
        <v>18701.004870000001</v>
      </c>
      <c r="E22" s="25">
        <f t="shared" si="2"/>
        <v>74804.019480000003</v>
      </c>
      <c r="F22" s="26">
        <f t="shared" si="1"/>
        <v>897648.23375999997</v>
      </c>
      <c r="G22" s="53" t="s">
        <v>49</v>
      </c>
      <c r="H22" s="6"/>
    </row>
    <row r="23" spans="1:8" ht="15.75" customHeight="1">
      <c r="A23" s="6"/>
      <c r="B23" s="344"/>
      <c r="C23" s="56" t="s">
        <v>50</v>
      </c>
      <c r="D23" s="57">
        <f>SUM(D15*0.6/1000)</f>
        <v>1246.7336579999999</v>
      </c>
      <c r="E23" s="25">
        <f t="shared" si="2"/>
        <v>4986.9346319999995</v>
      </c>
      <c r="F23" s="26">
        <f t="shared" si="1"/>
        <v>59843.21558399999</v>
      </c>
      <c r="G23" s="52" t="s">
        <v>51</v>
      </c>
      <c r="H23" s="6"/>
    </row>
    <row r="24" spans="1:8" ht="15.75" customHeight="1">
      <c r="A24" s="6"/>
      <c r="B24" s="344"/>
      <c r="C24" s="56" t="s">
        <v>52</v>
      </c>
      <c r="D24" s="57">
        <v>20000</v>
      </c>
      <c r="E24" s="25">
        <f t="shared" si="2"/>
        <v>80000</v>
      </c>
      <c r="F24" s="26">
        <f t="shared" si="1"/>
        <v>960000</v>
      </c>
      <c r="G24" s="58" t="s">
        <v>53</v>
      </c>
      <c r="H24" s="6"/>
    </row>
    <row r="25" spans="1:8" ht="15.75" customHeight="1">
      <c r="A25" s="6"/>
      <c r="B25" s="344"/>
      <c r="C25" s="56" t="s">
        <v>54</v>
      </c>
      <c r="D25" s="57">
        <f>158400/12</f>
        <v>13200</v>
      </c>
      <c r="E25" s="25">
        <f t="shared" si="2"/>
        <v>52800</v>
      </c>
      <c r="F25" s="26">
        <f t="shared" si="1"/>
        <v>633600</v>
      </c>
      <c r="G25" s="58"/>
      <c r="H25" s="6"/>
    </row>
    <row r="26" spans="1:8" ht="15.75" customHeight="1">
      <c r="A26" s="6"/>
      <c r="B26" s="344"/>
      <c r="C26" s="56" t="s">
        <v>55</v>
      </c>
      <c r="D26" s="57">
        <v>8000</v>
      </c>
      <c r="E26" s="59">
        <f>D26*2*30</f>
        <v>480000</v>
      </c>
      <c r="F26" s="60">
        <f t="shared" si="1"/>
        <v>5760000</v>
      </c>
      <c r="G26" s="61" t="s">
        <v>56</v>
      </c>
      <c r="H26" s="6"/>
    </row>
    <row r="27" spans="1:8" ht="15.75" customHeight="1" thickBot="1">
      <c r="A27" s="6"/>
      <c r="B27" s="344"/>
      <c r="C27" s="62" t="s">
        <v>57</v>
      </c>
      <c r="D27" s="63">
        <f>SUM(D18:D26)</f>
        <v>166576.45085698194</v>
      </c>
      <c r="E27" s="25">
        <f>SUM(E18:E26)</f>
        <v>1114305.8034279277</v>
      </c>
      <c r="F27" s="64">
        <f>SUM(F18:F26)</f>
        <v>13371669.641135134</v>
      </c>
      <c r="G27" s="65"/>
      <c r="H27" s="6"/>
    </row>
    <row r="28" spans="1:8" ht="15.75" customHeight="1" thickBot="1">
      <c r="A28" s="6"/>
      <c r="B28" s="396" t="s">
        <v>58</v>
      </c>
      <c r="C28" s="397"/>
      <c r="D28" s="45"/>
      <c r="E28" s="41"/>
      <c r="F28" s="42">
        <f>F17+F27</f>
        <v>121421920.00113511</v>
      </c>
      <c r="G28" s="66"/>
      <c r="H28" s="6"/>
    </row>
    <row r="29" spans="1:8" ht="15.75" customHeight="1" thickBot="1">
      <c r="A29" s="6"/>
      <c r="B29" s="388" t="s">
        <v>59</v>
      </c>
      <c r="C29" s="389"/>
      <c r="D29" s="67"/>
      <c r="E29" s="41"/>
      <c r="F29" s="42">
        <f>F28*4%</f>
        <v>4856876.8000454046</v>
      </c>
      <c r="G29" s="66" t="s">
        <v>60</v>
      </c>
      <c r="H29" s="6"/>
    </row>
    <row r="30" spans="1:8" ht="15.75" customHeight="1" thickBot="1">
      <c r="A30" s="6"/>
      <c r="B30" s="379" t="s">
        <v>61</v>
      </c>
      <c r="C30" s="380"/>
      <c r="D30" s="68"/>
      <c r="E30" s="69"/>
      <c r="F30" s="42">
        <f>(F28+F29)*5%</f>
        <v>6313939.8400590261</v>
      </c>
      <c r="G30" s="70" t="s">
        <v>62</v>
      </c>
      <c r="H30" s="6"/>
    </row>
    <row r="31" spans="1:8" ht="21" thickBot="1">
      <c r="A31" s="6"/>
      <c r="B31" s="381" t="s">
        <v>63</v>
      </c>
      <c r="C31" s="382"/>
      <c r="D31" s="71"/>
      <c r="E31" s="72"/>
      <c r="F31" s="73">
        <f>SUM(F28:F30)</f>
        <v>132592736.64123954</v>
      </c>
      <c r="G31" s="74"/>
      <c r="H31" s="6"/>
    </row>
    <row r="32" spans="1:8" ht="21" thickBot="1">
      <c r="A32" s="6"/>
      <c r="B32" s="383" t="s">
        <v>64</v>
      </c>
      <c r="C32" s="384"/>
      <c r="D32" s="75"/>
      <c r="E32" s="76"/>
      <c r="F32" s="72">
        <f>F31*10%</f>
        <v>13259273.664123954</v>
      </c>
      <c r="G32" s="77"/>
      <c r="H32" s="6"/>
    </row>
    <row r="33" spans="1:8" ht="26.25">
      <c r="A33" s="78"/>
      <c r="B33" s="79"/>
      <c r="C33" s="80"/>
      <c r="D33" s="385" t="s">
        <v>65</v>
      </c>
      <c r="E33" s="385"/>
      <c r="F33" s="385"/>
      <c r="G33" s="81">
        <f>F31</f>
        <v>132592736.64123954</v>
      </c>
      <c r="H33" s="78"/>
    </row>
    <row r="34" spans="1:8" ht="27" thickBot="1">
      <c r="A34" s="78"/>
      <c r="B34" s="386" t="s">
        <v>66</v>
      </c>
      <c r="C34" s="387"/>
      <c r="D34" s="387"/>
      <c r="E34" s="387"/>
      <c r="F34" s="387"/>
      <c r="G34" s="82">
        <f>F31+F32</f>
        <v>145852010.30536351</v>
      </c>
      <c r="H34" s="78"/>
    </row>
    <row r="35" spans="1:8">
      <c r="A35" s="6"/>
      <c r="B35" s="83"/>
      <c r="C35" s="83"/>
      <c r="D35" s="83"/>
      <c r="E35" s="84"/>
      <c r="F35" s="85"/>
      <c r="G35" s="85"/>
      <c r="H35" s="6"/>
    </row>
    <row r="36" spans="1:8" ht="20.25">
      <c r="A36" s="6"/>
      <c r="B36" s="86"/>
      <c r="C36" s="86"/>
      <c r="D36" s="86"/>
      <c r="E36" s="86"/>
      <c r="F36" s="86"/>
      <c r="G36" s="87"/>
      <c r="H36" s="6"/>
    </row>
  </sheetData>
  <mergeCells count="10">
    <mergeCell ref="B31:C31"/>
    <mergeCell ref="B32:C32"/>
    <mergeCell ref="D33:F33"/>
    <mergeCell ref="B34:F34"/>
    <mergeCell ref="B3:C3"/>
    <mergeCell ref="B4:B17"/>
    <mergeCell ref="B19:B27"/>
    <mergeCell ref="B28:C28"/>
    <mergeCell ref="B29:C29"/>
    <mergeCell ref="B30:C30"/>
  </mergeCells>
  <phoneticPr fontId="2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"/>
  <sheetViews>
    <sheetView zoomScale="70" zoomScaleNormal="70" workbookViewId="0">
      <selection activeCell="F39" sqref="F39"/>
    </sheetView>
  </sheetViews>
  <sheetFormatPr defaultRowHeight="16.5"/>
  <sheetData>
    <row r="1" spans="2:2" ht="20.25">
      <c r="B1" s="244" t="s">
        <v>208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zoomScale="70" zoomScaleNormal="70" zoomScaleSheetLayoutView="85" workbookViewId="0">
      <selection activeCell="G15" sqref="G15"/>
    </sheetView>
  </sheetViews>
  <sheetFormatPr defaultRowHeight="16.5"/>
  <cols>
    <col min="1" max="1" width="2" customWidth="1"/>
    <col min="2" max="2" width="11.25" customWidth="1"/>
    <col min="3" max="3" width="16.25" customWidth="1"/>
    <col min="4" max="4" width="14.625" customWidth="1"/>
    <col min="5" max="5" width="14.875" customWidth="1"/>
    <col min="6" max="6" width="20.375" bestFit="1" customWidth="1"/>
    <col min="7" max="7" width="48.625" customWidth="1"/>
    <col min="8" max="8" width="31.125" customWidth="1"/>
    <col min="9" max="9" width="12.25" customWidth="1"/>
    <col min="10" max="10" width="8.75" bestFit="1" customWidth="1"/>
    <col min="11" max="11" width="10.875" bestFit="1" customWidth="1"/>
  </cols>
  <sheetData>
    <row r="1" spans="1:12" ht="26.25">
      <c r="A1" s="6"/>
      <c r="B1" s="7"/>
      <c r="C1" s="7"/>
      <c r="D1" s="7"/>
      <c r="E1" s="8"/>
      <c r="F1" s="8"/>
      <c r="G1" s="8"/>
      <c r="H1" s="6"/>
    </row>
    <row r="2" spans="1:12" ht="28.5" customHeight="1" thickBot="1">
      <c r="A2" s="6"/>
      <c r="B2" s="9" t="s">
        <v>211</v>
      </c>
      <c r="C2" s="6"/>
      <c r="D2" s="6"/>
      <c r="E2" s="10"/>
      <c r="F2" s="10"/>
      <c r="G2" s="11" t="s">
        <v>17</v>
      </c>
      <c r="H2" s="6"/>
    </row>
    <row r="3" spans="1:12" ht="32.25" customHeight="1">
      <c r="A3" s="6"/>
      <c r="B3" s="341" t="s">
        <v>18</v>
      </c>
      <c r="C3" s="342"/>
      <c r="D3" s="286" t="s">
        <v>210</v>
      </c>
      <c r="E3" s="247" t="s">
        <v>20</v>
      </c>
      <c r="F3" s="247" t="s">
        <v>205</v>
      </c>
      <c r="G3" s="248" t="s">
        <v>22</v>
      </c>
      <c r="H3" s="358"/>
      <c r="I3" s="359"/>
    </row>
    <row r="4" spans="1:12" ht="11.25" customHeight="1" thickBot="1">
      <c r="A4" s="6"/>
      <c r="B4" s="450"/>
      <c r="C4" s="451"/>
      <c r="D4" s="456"/>
      <c r="E4" s="454">
        <v>1</v>
      </c>
      <c r="F4" s="454">
        <v>1</v>
      </c>
      <c r="G4" s="455"/>
      <c r="H4" s="182"/>
      <c r="I4" s="172"/>
    </row>
    <row r="5" spans="1:12" ht="18" hidden="1" customHeight="1" thickTop="1">
      <c r="A5" s="6"/>
      <c r="B5" s="343" t="s">
        <v>23</v>
      </c>
      <c r="C5" s="15" t="s">
        <v>24</v>
      </c>
      <c r="D5" s="287">
        <v>10577</v>
      </c>
      <c r="E5" s="17"/>
      <c r="F5" s="283"/>
      <c r="G5" s="19" t="s">
        <v>67</v>
      </c>
      <c r="I5" s="155"/>
    </row>
    <row r="6" spans="1:12" ht="18" customHeight="1" thickTop="1">
      <c r="A6" s="6"/>
      <c r="B6" s="344"/>
      <c r="C6" s="280" t="s">
        <v>25</v>
      </c>
      <c r="D6" s="288"/>
      <c r="E6" s="293"/>
      <c r="F6" s="284"/>
      <c r="G6" s="23"/>
      <c r="H6" s="91"/>
      <c r="I6" s="156"/>
      <c r="K6" s="187"/>
    </row>
    <row r="7" spans="1:12" ht="18" customHeight="1">
      <c r="A7" s="6"/>
      <c r="B7" s="344"/>
      <c r="C7" s="280" t="s">
        <v>26</v>
      </c>
      <c r="D7" s="282"/>
      <c r="E7" s="193"/>
      <c r="F7" s="255"/>
      <c r="G7" s="181"/>
      <c r="H7" s="6"/>
      <c r="I7" s="157"/>
    </row>
    <row r="8" spans="1:12" ht="18" customHeight="1">
      <c r="A8" s="6"/>
      <c r="B8" s="344"/>
      <c r="C8" s="280" t="s">
        <v>152</v>
      </c>
      <c r="D8" s="282"/>
      <c r="E8" s="193"/>
      <c r="F8" s="255"/>
      <c r="G8" s="30"/>
      <c r="I8" s="180"/>
    </row>
    <row r="9" spans="1:12" ht="18" customHeight="1">
      <c r="A9" s="6"/>
      <c r="B9" s="344"/>
      <c r="C9" s="280" t="s">
        <v>30</v>
      </c>
      <c r="D9" s="211"/>
      <c r="E9" s="193"/>
      <c r="F9" s="255"/>
      <c r="G9" s="30"/>
      <c r="I9" s="180"/>
    </row>
    <row r="10" spans="1:12" ht="18" hidden="1" customHeight="1" thickBot="1">
      <c r="A10" s="6"/>
      <c r="B10" s="344"/>
      <c r="C10" s="280" t="s">
        <v>154</v>
      </c>
      <c r="D10" s="282"/>
      <c r="E10" s="193"/>
      <c r="F10" s="255"/>
      <c r="G10" s="30"/>
      <c r="I10" s="5"/>
    </row>
    <row r="11" spans="1:12" ht="18" customHeight="1">
      <c r="A11" s="6"/>
      <c r="B11" s="344"/>
      <c r="C11" s="281" t="s">
        <v>35</v>
      </c>
      <c r="D11" s="289"/>
      <c r="E11" s="294"/>
      <c r="F11" s="285"/>
      <c r="G11" s="329"/>
      <c r="H11" s="6"/>
      <c r="I11" s="5"/>
      <c r="K11" s="173"/>
      <c r="L11" s="194"/>
    </row>
    <row r="12" spans="1:12" ht="18" customHeight="1" thickBot="1">
      <c r="A12" s="6"/>
      <c r="B12" s="344"/>
      <c r="C12" s="302" t="s">
        <v>36</v>
      </c>
      <c r="D12" s="303"/>
      <c r="E12" s="296"/>
      <c r="F12" s="297"/>
      <c r="G12" s="330"/>
      <c r="H12" s="6"/>
      <c r="I12" s="5"/>
      <c r="K12" s="173"/>
      <c r="L12" s="194"/>
    </row>
    <row r="13" spans="1:12" ht="18" customHeight="1" thickBot="1">
      <c r="A13" s="6"/>
      <c r="B13" s="344"/>
      <c r="C13" s="328" t="s">
        <v>38</v>
      </c>
      <c r="D13" s="210"/>
      <c r="E13" s="188"/>
      <c r="F13" s="251"/>
      <c r="G13" s="38"/>
      <c r="H13" s="6"/>
      <c r="I13" s="5"/>
      <c r="K13" s="173"/>
    </row>
    <row r="14" spans="1:12" ht="18" customHeight="1">
      <c r="A14" s="6"/>
      <c r="B14" s="226"/>
      <c r="C14" s="298" t="s">
        <v>39</v>
      </c>
      <c r="D14" s="299"/>
      <c r="E14" s="300"/>
      <c r="F14" s="301"/>
      <c r="G14" s="331"/>
      <c r="H14" s="6"/>
      <c r="I14" s="5"/>
    </row>
    <row r="15" spans="1:12" ht="18" customHeight="1">
      <c r="A15" s="6"/>
      <c r="B15" s="344" t="s">
        <v>41</v>
      </c>
      <c r="C15" s="327" t="s">
        <v>42</v>
      </c>
      <c r="D15" s="291"/>
      <c r="E15" s="295"/>
      <c r="F15" s="257"/>
      <c r="G15" s="332"/>
      <c r="H15" s="101"/>
      <c r="I15" s="106"/>
    </row>
    <row r="16" spans="1:12" ht="18" customHeight="1">
      <c r="A16" s="6"/>
      <c r="B16" s="344"/>
      <c r="C16" s="327" t="s">
        <v>44</v>
      </c>
      <c r="D16" s="290"/>
      <c r="E16" s="295"/>
      <c r="F16" s="257"/>
      <c r="G16" s="333"/>
      <c r="H16" s="102"/>
      <c r="I16" s="105"/>
    </row>
    <row r="17" spans="1:9" ht="18" customHeight="1">
      <c r="A17" s="6"/>
      <c r="B17" s="344"/>
      <c r="C17" s="327" t="s">
        <v>46</v>
      </c>
      <c r="D17" s="290"/>
      <c r="E17" s="295"/>
      <c r="F17" s="257"/>
      <c r="G17" s="332"/>
      <c r="H17" s="183"/>
      <c r="I17" s="105"/>
    </row>
    <row r="18" spans="1:9" ht="18.75" customHeight="1">
      <c r="A18" s="6"/>
      <c r="B18" s="344"/>
      <c r="C18" s="327" t="s">
        <v>48</v>
      </c>
      <c r="D18" s="290"/>
      <c r="E18" s="295"/>
      <c r="F18" s="257"/>
      <c r="G18" s="333"/>
      <c r="H18" s="102"/>
      <c r="I18" s="104"/>
    </row>
    <row r="19" spans="1:9" ht="18" customHeight="1">
      <c r="A19" s="6"/>
      <c r="B19" s="344"/>
      <c r="C19" s="327" t="s">
        <v>50</v>
      </c>
      <c r="D19" s="290"/>
      <c r="E19" s="295"/>
      <c r="F19" s="257"/>
      <c r="G19" s="332"/>
      <c r="H19" s="103"/>
      <c r="I19" s="105"/>
    </row>
    <row r="20" spans="1:9" ht="18" customHeight="1">
      <c r="A20" s="6"/>
      <c r="B20" s="344"/>
      <c r="C20" s="327" t="s">
        <v>204</v>
      </c>
      <c r="D20" s="290"/>
      <c r="E20" s="295"/>
      <c r="F20" s="257"/>
      <c r="G20" s="332"/>
      <c r="H20" s="103"/>
      <c r="I20" s="105"/>
    </row>
    <row r="21" spans="1:9" ht="18" customHeight="1">
      <c r="A21" s="6"/>
      <c r="B21" s="344"/>
      <c r="C21" s="327" t="s">
        <v>54</v>
      </c>
      <c r="D21" s="290"/>
      <c r="E21" s="295"/>
      <c r="F21" s="257"/>
      <c r="G21" s="334"/>
      <c r="H21" s="6"/>
      <c r="I21" s="5"/>
    </row>
    <row r="22" spans="1:9" ht="18" customHeight="1">
      <c r="A22" s="6"/>
      <c r="B22" s="360"/>
      <c r="C22" s="316" t="s">
        <v>57</v>
      </c>
      <c r="D22" s="290"/>
      <c r="E22" s="295"/>
      <c r="F22" s="257"/>
      <c r="G22" s="225"/>
      <c r="H22" s="6"/>
      <c r="I22" s="5"/>
    </row>
    <row r="23" spans="1:9" ht="18" customHeight="1">
      <c r="A23" s="6"/>
      <c r="B23" s="346" t="s">
        <v>58</v>
      </c>
      <c r="C23" s="347"/>
      <c r="D23" s="206"/>
      <c r="E23" s="317"/>
      <c r="F23" s="257"/>
      <c r="G23" s="225"/>
      <c r="H23" s="6"/>
      <c r="I23" s="5"/>
    </row>
    <row r="24" spans="1:9" ht="18" customHeight="1">
      <c r="A24" s="6"/>
      <c r="B24" s="338" t="s">
        <v>59</v>
      </c>
      <c r="C24" s="339"/>
      <c r="D24" s="318"/>
      <c r="E24" s="317"/>
      <c r="F24" s="257"/>
      <c r="G24" s="225"/>
      <c r="H24" s="6"/>
      <c r="I24" s="154"/>
    </row>
    <row r="25" spans="1:9" ht="18" customHeight="1" thickBot="1">
      <c r="A25" s="6"/>
      <c r="B25" s="348" t="s">
        <v>61</v>
      </c>
      <c r="C25" s="349"/>
      <c r="D25" s="319"/>
      <c r="E25" s="320"/>
      <c r="F25" s="258"/>
      <c r="G25" s="268"/>
      <c r="H25" s="6"/>
      <c r="I25" s="154"/>
    </row>
    <row r="26" spans="1:9" ht="18" customHeight="1" thickBot="1">
      <c r="A26" s="6"/>
      <c r="B26" s="350" t="s">
        <v>63</v>
      </c>
      <c r="C26" s="361"/>
      <c r="D26" s="292"/>
      <c r="E26" s="265"/>
      <c r="F26" s="259">
        <f>ROUNDUP(SUM(F23:F25),0)</f>
        <v>0</v>
      </c>
      <c r="G26" s="191"/>
      <c r="H26" s="6"/>
    </row>
    <row r="27" spans="1:9" ht="18" customHeight="1" thickBot="1">
      <c r="A27" s="6"/>
      <c r="B27" s="362" t="s">
        <v>64</v>
      </c>
      <c r="C27" s="363"/>
      <c r="D27" s="321"/>
      <c r="E27" s="322"/>
      <c r="F27" s="323">
        <f>ROUNDDOWN(F26*0.1,0)</f>
        <v>0</v>
      </c>
      <c r="G27" s="324"/>
      <c r="H27" s="6"/>
    </row>
    <row r="28" spans="1:9" ht="18" customHeight="1" thickBot="1">
      <c r="A28" s="6"/>
      <c r="B28" s="354" t="s">
        <v>63</v>
      </c>
      <c r="C28" s="355"/>
      <c r="D28" s="276"/>
      <c r="E28" s="263"/>
      <c r="F28" s="259">
        <f>F26+F27</f>
        <v>0</v>
      </c>
      <c r="G28" s="264" t="s">
        <v>207</v>
      </c>
      <c r="H28" s="6"/>
    </row>
    <row r="29" spans="1:9" ht="27" thickBot="1">
      <c r="A29" s="78"/>
      <c r="B29" s="335"/>
      <c r="C29" s="336"/>
      <c r="D29" s="336"/>
      <c r="E29" s="336"/>
      <c r="F29" s="336"/>
      <c r="G29" s="337"/>
      <c r="H29" s="78"/>
    </row>
    <row r="30" spans="1:9">
      <c r="A30" s="6"/>
      <c r="B30" s="83"/>
      <c r="C30" s="83"/>
      <c r="D30" s="83"/>
      <c r="E30" s="84"/>
      <c r="F30" s="85"/>
      <c r="G30" s="85"/>
      <c r="H30" s="6"/>
    </row>
    <row r="31" spans="1:9" ht="20.25">
      <c r="A31" s="6"/>
      <c r="B31" s="86"/>
      <c r="C31" s="86"/>
      <c r="D31" s="86"/>
      <c r="E31" s="86"/>
      <c r="F31" s="86"/>
      <c r="G31" s="87"/>
      <c r="H31" s="6"/>
    </row>
  </sheetData>
  <mergeCells count="11">
    <mergeCell ref="B29:G29"/>
    <mergeCell ref="B3:C3"/>
    <mergeCell ref="H3:I3"/>
    <mergeCell ref="B5:B13"/>
    <mergeCell ref="B15:B22"/>
    <mergeCell ref="B23:C23"/>
    <mergeCell ref="B24:C24"/>
    <mergeCell ref="B25:C25"/>
    <mergeCell ref="B26:C26"/>
    <mergeCell ref="B27:C27"/>
    <mergeCell ref="B28:C28"/>
  </mergeCells>
  <phoneticPr fontId="2" type="noConversion"/>
  <pageMargins left="0.7" right="0.7" top="0.75" bottom="0.75" header="0.3" footer="0.3"/>
  <pageSetup paperSize="9" scale="94" fitToHeight="0" orientation="landscape" r:id="rId1"/>
  <rowBreaks count="2" manualBreakCount="2">
    <brk id="29" max="6" man="1"/>
    <brk id="3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21"/>
  <sheetViews>
    <sheetView zoomScaleSheetLayoutView="85" workbookViewId="0">
      <selection activeCell="G5" sqref="G5:I13"/>
    </sheetView>
  </sheetViews>
  <sheetFormatPr defaultRowHeight="16.5"/>
  <cols>
    <col min="1" max="1" width="1.5" customWidth="1"/>
    <col min="2" max="2" width="13.875" customWidth="1"/>
    <col min="3" max="3" width="30.5" customWidth="1"/>
    <col min="4" max="4" width="29.5" customWidth="1"/>
    <col min="5" max="5" width="2.875" style="110" customWidth="1"/>
    <col min="6" max="13" width="9" style="110"/>
  </cols>
  <sheetData>
    <row r="2" spans="2:14" ht="26.25">
      <c r="B2" s="99" t="s">
        <v>182</v>
      </c>
    </row>
    <row r="4" spans="2:14">
      <c r="B4" s="111" t="s">
        <v>183</v>
      </c>
    </row>
    <row r="5" spans="2:14" ht="16.5" customHeight="1">
      <c r="B5" s="5"/>
      <c r="C5" s="107"/>
      <c r="D5" s="110"/>
      <c r="J5"/>
      <c r="K5"/>
      <c r="L5"/>
      <c r="M5"/>
    </row>
    <row r="6" spans="2:14" ht="17.25" thickBot="1">
      <c r="B6" s="1"/>
      <c r="C6" s="1"/>
      <c r="D6" s="1"/>
    </row>
    <row r="7" spans="2:14" ht="17.25" thickBot="1">
      <c r="B7" s="130" t="s">
        <v>142</v>
      </c>
      <c r="C7" s="131" t="s">
        <v>181</v>
      </c>
      <c r="D7" s="132" t="s">
        <v>143</v>
      </c>
      <c r="N7" s="110"/>
    </row>
    <row r="8" spans="2:14" ht="18" customHeight="1" thickTop="1">
      <c r="B8" s="174" t="s">
        <v>184</v>
      </c>
      <c r="C8" s="325" t="s">
        <v>194</v>
      </c>
      <c r="D8" s="370" t="s">
        <v>203</v>
      </c>
      <c r="G8"/>
      <c r="I8" s="326"/>
      <c r="N8" s="110"/>
    </row>
    <row r="9" spans="2:14" ht="18" customHeight="1">
      <c r="B9" s="175" t="s">
        <v>185</v>
      </c>
      <c r="C9" s="179" t="s">
        <v>193</v>
      </c>
      <c r="D9" s="371"/>
      <c r="G9"/>
      <c r="I9" s="326"/>
      <c r="N9" s="110"/>
    </row>
    <row r="10" spans="2:14" ht="18" customHeight="1">
      <c r="B10" s="176" t="s">
        <v>186</v>
      </c>
      <c r="C10" s="364" t="s">
        <v>195</v>
      </c>
      <c r="D10" s="371"/>
      <c r="G10"/>
      <c r="N10" s="110"/>
    </row>
    <row r="11" spans="2:14" ht="18" customHeight="1">
      <c r="B11" s="176" t="s">
        <v>187</v>
      </c>
      <c r="C11" s="365"/>
      <c r="D11" s="371"/>
      <c r="N11" s="110"/>
    </row>
    <row r="12" spans="2:14" ht="18" customHeight="1">
      <c r="B12" s="185" t="s">
        <v>188</v>
      </c>
      <c r="C12" s="365"/>
      <c r="D12" s="371"/>
      <c r="N12" s="110"/>
    </row>
    <row r="13" spans="2:14" ht="18" customHeight="1">
      <c r="B13" s="185" t="s">
        <v>189</v>
      </c>
      <c r="C13" s="366"/>
      <c r="D13" s="371"/>
      <c r="N13" s="110"/>
    </row>
    <row r="14" spans="2:14" ht="18" customHeight="1">
      <c r="B14" s="185" t="s">
        <v>190</v>
      </c>
      <c r="C14" s="367" t="s">
        <v>196</v>
      </c>
      <c r="D14" s="371"/>
      <c r="N14" s="110"/>
    </row>
    <row r="15" spans="2:14" ht="18" customHeight="1">
      <c r="B15" s="186" t="s">
        <v>191</v>
      </c>
      <c r="C15" s="368"/>
      <c r="D15" s="371"/>
      <c r="N15" s="110"/>
    </row>
    <row r="16" spans="2:14" ht="18" customHeight="1">
      <c r="B16" s="185" t="s">
        <v>192</v>
      </c>
      <c r="C16" s="364" t="s">
        <v>197</v>
      </c>
      <c r="D16" s="371"/>
      <c r="N16" s="110"/>
    </row>
    <row r="17" spans="2:14" ht="18" customHeight="1">
      <c r="B17" s="185" t="s">
        <v>198</v>
      </c>
      <c r="C17" s="365"/>
      <c r="D17" s="371"/>
      <c r="N17" s="110"/>
    </row>
    <row r="18" spans="2:14" ht="18" customHeight="1">
      <c r="B18" s="185" t="s">
        <v>199</v>
      </c>
      <c r="C18" s="365"/>
      <c r="D18" s="371"/>
      <c r="N18" s="110"/>
    </row>
    <row r="19" spans="2:14" ht="18" customHeight="1">
      <c r="B19" s="185" t="s">
        <v>200</v>
      </c>
      <c r="C19" s="365"/>
      <c r="D19" s="371"/>
      <c r="N19" s="110"/>
    </row>
    <row r="20" spans="2:14" ht="18" customHeight="1">
      <c r="B20" s="177" t="s">
        <v>201</v>
      </c>
      <c r="C20" s="365"/>
      <c r="D20" s="371"/>
      <c r="N20" s="110"/>
    </row>
    <row r="21" spans="2:14" ht="18" customHeight="1" thickBot="1">
      <c r="B21" s="178" t="s">
        <v>202</v>
      </c>
      <c r="C21" s="369"/>
      <c r="D21" s="372"/>
      <c r="N21" s="110"/>
    </row>
  </sheetData>
  <mergeCells count="4">
    <mergeCell ref="C10:C13"/>
    <mergeCell ref="C14:C15"/>
    <mergeCell ref="C16:C21"/>
    <mergeCell ref="D8:D21"/>
  </mergeCells>
  <phoneticPr fontId="2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6"/>
  <sheetViews>
    <sheetView workbookViewId="0">
      <selection activeCell="A5" sqref="A5"/>
    </sheetView>
  </sheetViews>
  <sheetFormatPr defaultRowHeight="16.5"/>
  <cols>
    <col min="1" max="1" width="19.75" style="1" bestFit="1" customWidth="1"/>
    <col min="2" max="6" width="9" style="1"/>
    <col min="7" max="7" width="10.125" style="1" bestFit="1" customWidth="1"/>
    <col min="8" max="16384" width="9" style="1"/>
  </cols>
  <sheetData>
    <row r="1" spans="1:36">
      <c r="A1" s="92"/>
      <c r="B1" s="171">
        <v>1</v>
      </c>
      <c r="C1" s="171">
        <v>2</v>
      </c>
      <c r="D1" s="171">
        <v>3</v>
      </c>
      <c r="E1" s="171">
        <v>4</v>
      </c>
      <c r="F1" s="171">
        <v>5</v>
      </c>
      <c r="G1" s="171">
        <v>6</v>
      </c>
      <c r="H1" s="171">
        <v>7</v>
      </c>
      <c r="I1" s="171">
        <v>8</v>
      </c>
      <c r="J1" s="171">
        <v>9</v>
      </c>
      <c r="K1" s="171">
        <v>10</v>
      </c>
      <c r="L1" s="171">
        <v>11</v>
      </c>
      <c r="M1" s="171">
        <v>12</v>
      </c>
      <c r="N1" s="171">
        <v>13</v>
      </c>
      <c r="O1" s="171">
        <v>14</v>
      </c>
      <c r="P1" s="171">
        <v>15</v>
      </c>
      <c r="Q1" s="171">
        <v>16</v>
      </c>
      <c r="R1" s="171">
        <v>17</v>
      </c>
      <c r="S1" s="171">
        <v>18</v>
      </c>
      <c r="T1" s="171">
        <v>19</v>
      </c>
      <c r="U1" s="171">
        <v>20</v>
      </c>
      <c r="V1" s="171">
        <v>21</v>
      </c>
      <c r="W1" s="171">
        <v>22</v>
      </c>
      <c r="X1" s="171">
        <v>23</v>
      </c>
      <c r="Y1" s="171">
        <v>24</v>
      </c>
      <c r="Z1" s="171">
        <v>25</v>
      </c>
      <c r="AA1" s="171">
        <v>26</v>
      </c>
      <c r="AB1" s="171">
        <v>27</v>
      </c>
      <c r="AC1" s="171">
        <v>28</v>
      </c>
      <c r="AD1" s="171">
        <v>29</v>
      </c>
      <c r="AE1" s="171">
        <v>30</v>
      </c>
      <c r="AF1" s="171">
        <v>31</v>
      </c>
    </row>
    <row r="2" spans="1:36">
      <c r="A2" s="92" t="s">
        <v>1</v>
      </c>
      <c r="B2" s="170" t="s">
        <v>178</v>
      </c>
      <c r="C2" s="170" t="s">
        <v>178</v>
      </c>
      <c r="D2" s="170" t="s">
        <v>179</v>
      </c>
      <c r="E2" s="170" t="s">
        <v>179</v>
      </c>
      <c r="F2" s="170" t="s">
        <v>180</v>
      </c>
      <c r="G2" s="170" t="s">
        <v>180</v>
      </c>
      <c r="H2" s="170" t="s">
        <v>178</v>
      </c>
      <c r="I2" s="170" t="s">
        <v>178</v>
      </c>
      <c r="J2" s="170" t="s">
        <v>179</v>
      </c>
      <c r="K2" s="170" t="s">
        <v>179</v>
      </c>
      <c r="L2" s="170" t="s">
        <v>180</v>
      </c>
      <c r="M2" s="170" t="s">
        <v>180</v>
      </c>
      <c r="N2" s="170" t="s">
        <v>178</v>
      </c>
      <c r="O2" s="170" t="s">
        <v>178</v>
      </c>
      <c r="P2" s="170" t="s">
        <v>179</v>
      </c>
      <c r="Q2" s="170" t="s">
        <v>179</v>
      </c>
      <c r="R2" s="170" t="s">
        <v>180</v>
      </c>
      <c r="S2" s="170" t="s">
        <v>180</v>
      </c>
      <c r="T2" s="170" t="s">
        <v>178</v>
      </c>
      <c r="U2" s="170" t="s">
        <v>178</v>
      </c>
      <c r="V2" s="170" t="s">
        <v>179</v>
      </c>
      <c r="W2" s="170" t="s">
        <v>179</v>
      </c>
      <c r="X2" s="170" t="s">
        <v>180</v>
      </c>
      <c r="Y2" s="170" t="s">
        <v>180</v>
      </c>
      <c r="Z2" s="170" t="s">
        <v>178</v>
      </c>
      <c r="AA2" s="170" t="s">
        <v>178</v>
      </c>
      <c r="AB2" s="170" t="s">
        <v>179</v>
      </c>
      <c r="AC2" s="170" t="s">
        <v>179</v>
      </c>
      <c r="AD2" s="170" t="s">
        <v>180</v>
      </c>
      <c r="AE2" s="170" t="s">
        <v>180</v>
      </c>
      <c r="AF2" s="170" t="s">
        <v>178</v>
      </c>
    </row>
    <row r="3" spans="1:36">
      <c r="A3" s="92" t="s">
        <v>2</v>
      </c>
      <c r="B3" s="170" t="s">
        <v>179</v>
      </c>
      <c r="C3" s="170" t="s">
        <v>179</v>
      </c>
      <c r="D3" s="170" t="s">
        <v>180</v>
      </c>
      <c r="E3" s="170" t="s">
        <v>180</v>
      </c>
      <c r="F3" s="170" t="s">
        <v>178</v>
      </c>
      <c r="G3" s="170" t="s">
        <v>178</v>
      </c>
      <c r="H3" s="170" t="s">
        <v>179</v>
      </c>
      <c r="I3" s="170" t="s">
        <v>179</v>
      </c>
      <c r="J3" s="170" t="s">
        <v>180</v>
      </c>
      <c r="K3" s="170" t="s">
        <v>180</v>
      </c>
      <c r="L3" s="170" t="s">
        <v>178</v>
      </c>
      <c r="M3" s="170" t="s">
        <v>178</v>
      </c>
      <c r="N3" s="170" t="s">
        <v>179</v>
      </c>
      <c r="O3" s="170" t="s">
        <v>179</v>
      </c>
      <c r="P3" s="170" t="s">
        <v>180</v>
      </c>
      <c r="Q3" s="170" t="s">
        <v>180</v>
      </c>
      <c r="R3" s="170" t="s">
        <v>178</v>
      </c>
      <c r="S3" s="170" t="s">
        <v>178</v>
      </c>
      <c r="T3" s="170" t="s">
        <v>179</v>
      </c>
      <c r="U3" s="170" t="s">
        <v>179</v>
      </c>
      <c r="V3" s="170" t="s">
        <v>180</v>
      </c>
      <c r="W3" s="170" t="s">
        <v>180</v>
      </c>
      <c r="X3" s="170" t="s">
        <v>178</v>
      </c>
      <c r="Y3" s="170" t="s">
        <v>178</v>
      </c>
      <c r="Z3" s="170" t="s">
        <v>179</v>
      </c>
      <c r="AA3" s="170" t="s">
        <v>179</v>
      </c>
      <c r="AB3" s="170" t="s">
        <v>180</v>
      </c>
      <c r="AC3" s="170" t="s">
        <v>180</v>
      </c>
      <c r="AD3" s="170" t="s">
        <v>178</v>
      </c>
      <c r="AE3" s="170" t="s">
        <v>178</v>
      </c>
      <c r="AF3" s="170" t="s">
        <v>179</v>
      </c>
    </row>
    <row r="4" spans="1:36">
      <c r="A4" s="92" t="s">
        <v>3</v>
      </c>
      <c r="B4" s="170" t="s">
        <v>180</v>
      </c>
      <c r="C4" s="170" t="s">
        <v>180</v>
      </c>
      <c r="D4" s="170" t="s">
        <v>178</v>
      </c>
      <c r="E4" s="170" t="s">
        <v>178</v>
      </c>
      <c r="F4" s="170" t="s">
        <v>179</v>
      </c>
      <c r="G4" s="170" t="s">
        <v>179</v>
      </c>
      <c r="H4" s="170" t="s">
        <v>180</v>
      </c>
      <c r="I4" s="170" t="s">
        <v>180</v>
      </c>
      <c r="J4" s="170" t="s">
        <v>178</v>
      </c>
      <c r="K4" s="170" t="s">
        <v>178</v>
      </c>
      <c r="L4" s="170" t="s">
        <v>179</v>
      </c>
      <c r="M4" s="170" t="s">
        <v>179</v>
      </c>
      <c r="N4" s="170" t="s">
        <v>180</v>
      </c>
      <c r="O4" s="170" t="s">
        <v>180</v>
      </c>
      <c r="P4" s="170" t="s">
        <v>178</v>
      </c>
      <c r="Q4" s="170" t="s">
        <v>178</v>
      </c>
      <c r="R4" s="170" t="s">
        <v>179</v>
      </c>
      <c r="S4" s="170" t="s">
        <v>179</v>
      </c>
      <c r="T4" s="170" t="s">
        <v>180</v>
      </c>
      <c r="U4" s="170" t="s">
        <v>180</v>
      </c>
      <c r="V4" s="170" t="s">
        <v>178</v>
      </c>
      <c r="W4" s="170" t="s">
        <v>178</v>
      </c>
      <c r="X4" s="170" t="s">
        <v>179</v>
      </c>
      <c r="Y4" s="170" t="s">
        <v>179</v>
      </c>
      <c r="Z4" s="170" t="s">
        <v>180</v>
      </c>
      <c r="AA4" s="170" t="s">
        <v>180</v>
      </c>
      <c r="AB4" s="170" t="s">
        <v>178</v>
      </c>
      <c r="AC4" s="170" t="s">
        <v>178</v>
      </c>
      <c r="AD4" s="170" t="s">
        <v>179</v>
      </c>
      <c r="AE4" s="170" t="s">
        <v>179</v>
      </c>
      <c r="AF4" s="170" t="s">
        <v>180</v>
      </c>
      <c r="AI4" s="2"/>
      <c r="AJ4" s="2"/>
    </row>
    <row r="5" spans="1:36" ht="17.25" thickBot="1"/>
    <row r="6" spans="1:36">
      <c r="A6" s="112"/>
      <c r="B6" s="113" t="s">
        <v>11</v>
      </c>
      <c r="C6" s="113" t="s">
        <v>10</v>
      </c>
      <c r="D6" s="113" t="s">
        <v>12</v>
      </c>
      <c r="E6" s="114" t="s">
        <v>9</v>
      </c>
      <c r="F6" s="5"/>
    </row>
    <row r="7" spans="1:36">
      <c r="A7" s="133" t="s">
        <v>0</v>
      </c>
      <c r="B7" s="3">
        <f>C7+D7</f>
        <v>10</v>
      </c>
      <c r="C7" s="161">
        <v>9</v>
      </c>
      <c r="D7" s="3">
        <v>1</v>
      </c>
      <c r="E7" s="134"/>
      <c r="G7" s="89"/>
      <c r="H7" s="90"/>
    </row>
    <row r="8" spans="1:36">
      <c r="A8" s="133" t="s">
        <v>6</v>
      </c>
      <c r="B8" s="3">
        <f>C8+D8</f>
        <v>6.5</v>
      </c>
      <c r="C8" s="161">
        <v>6</v>
      </c>
      <c r="D8" s="3">
        <v>0.5</v>
      </c>
      <c r="E8" s="134"/>
      <c r="G8" s="90"/>
      <c r="H8" s="90"/>
    </row>
    <row r="9" spans="1:36">
      <c r="A9" s="133" t="s">
        <v>8</v>
      </c>
      <c r="B9" s="3">
        <f>C9+D9</f>
        <v>6.5</v>
      </c>
      <c r="C9" s="161">
        <v>6</v>
      </c>
      <c r="D9" s="3">
        <v>0.5</v>
      </c>
      <c r="E9" s="134"/>
      <c r="G9" s="90"/>
      <c r="H9" s="90"/>
    </row>
    <row r="10" spans="1:36">
      <c r="A10" s="133" t="s">
        <v>9</v>
      </c>
      <c r="B10" s="3">
        <f>C10+D10</f>
        <v>11</v>
      </c>
      <c r="C10" s="168">
        <v>9</v>
      </c>
      <c r="D10" s="168">
        <v>2</v>
      </c>
      <c r="E10" s="169">
        <v>7</v>
      </c>
    </row>
    <row r="11" spans="1:36" ht="17.25" thickBot="1">
      <c r="A11" s="135" t="s">
        <v>7</v>
      </c>
      <c r="B11" s="136">
        <f>C11+D11</f>
        <v>24</v>
      </c>
      <c r="C11" s="162">
        <v>16</v>
      </c>
      <c r="D11" s="136">
        <v>8</v>
      </c>
      <c r="E11" s="160">
        <v>4</v>
      </c>
    </row>
    <row r="12" spans="1:36" ht="17.25" thickBot="1"/>
    <row r="13" spans="1:36">
      <c r="A13" s="142" t="s">
        <v>69</v>
      </c>
      <c r="B13" s="143" t="s">
        <v>176</v>
      </c>
      <c r="C13" s="144"/>
      <c r="D13" s="373"/>
      <c r="E13" s="374"/>
      <c r="F13" s="375"/>
      <c r="G13" s="145">
        <f>5*(C7+C8+C9+C10)+2*C11</f>
        <v>182</v>
      </c>
    </row>
    <row r="14" spans="1:36">
      <c r="A14" s="146" t="s">
        <v>71</v>
      </c>
      <c r="B14" s="108" t="s">
        <v>72</v>
      </c>
      <c r="C14" s="109"/>
      <c r="D14" s="109"/>
      <c r="E14" s="109"/>
      <c r="F14" s="109"/>
      <c r="G14" s="147">
        <f>G13/28*365/12</f>
        <v>197.70833333333334</v>
      </c>
    </row>
    <row r="15" spans="1:36">
      <c r="A15" s="146" t="s">
        <v>73</v>
      </c>
      <c r="B15" s="108" t="s">
        <v>177</v>
      </c>
      <c r="C15" s="109"/>
      <c r="D15" s="376"/>
      <c r="E15" s="377"/>
      <c r="F15" s="378"/>
      <c r="G15" s="148">
        <f>5*E10+2*E11</f>
        <v>43</v>
      </c>
    </row>
    <row r="16" spans="1:36" ht="17.25" thickBot="1">
      <c r="A16" s="140" t="s">
        <v>75</v>
      </c>
      <c r="B16" s="149" t="s">
        <v>76</v>
      </c>
      <c r="C16" s="118"/>
      <c r="D16" s="118"/>
      <c r="E16" s="118"/>
      <c r="F16" s="118"/>
      <c r="G16" s="150">
        <f>G15/28*365/12*0.5</f>
        <v>23.355654761904763</v>
      </c>
    </row>
  </sheetData>
  <mergeCells count="2">
    <mergeCell ref="D13:F13"/>
    <mergeCell ref="D15:F15"/>
  </mergeCells>
  <phoneticPr fontId="2" type="noConversion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selection activeCell="A5" sqref="A5"/>
    </sheetView>
  </sheetViews>
  <sheetFormatPr defaultRowHeight="16.5"/>
  <cols>
    <col min="1" max="1" width="2" customWidth="1"/>
    <col min="2" max="2" width="11.25" customWidth="1"/>
    <col min="3" max="5" width="16.25" customWidth="1"/>
    <col min="6" max="6" width="20.375" bestFit="1" customWidth="1"/>
    <col min="7" max="7" width="43" customWidth="1"/>
    <col min="8" max="8" width="48.375" customWidth="1"/>
    <col min="9" max="9" width="19.625" customWidth="1"/>
    <col min="10" max="10" width="8.75" bestFit="1" customWidth="1"/>
  </cols>
  <sheetData>
    <row r="1" spans="1:9" ht="26.25">
      <c r="A1" s="6"/>
      <c r="B1" s="7"/>
      <c r="C1" s="7"/>
      <c r="D1" s="7"/>
      <c r="E1" s="8"/>
      <c r="F1" s="8"/>
      <c r="G1" s="8"/>
      <c r="H1" s="6"/>
    </row>
    <row r="2" spans="1:9" ht="28.5" customHeight="1" thickBot="1">
      <c r="A2" s="6"/>
      <c r="B2" s="9" t="s">
        <v>101</v>
      </c>
      <c r="C2" s="6"/>
      <c r="D2" s="6"/>
      <c r="E2" s="10"/>
      <c r="F2" s="10"/>
      <c r="G2" s="11" t="s">
        <v>17</v>
      </c>
      <c r="H2" s="6"/>
    </row>
    <row r="3" spans="1:9" ht="66.75" customHeight="1" thickBot="1">
      <c r="A3" s="6"/>
      <c r="B3" s="390" t="s">
        <v>18</v>
      </c>
      <c r="C3" s="391"/>
      <c r="D3" s="12" t="s">
        <v>19</v>
      </c>
      <c r="E3" s="13" t="s">
        <v>20</v>
      </c>
      <c r="F3" s="13" t="s">
        <v>21</v>
      </c>
      <c r="G3" s="14" t="s">
        <v>22</v>
      </c>
      <c r="H3" s="392" t="s">
        <v>111</v>
      </c>
      <c r="I3" s="359"/>
    </row>
    <row r="4" spans="1:9" ht="15.75" customHeight="1" thickTop="1">
      <c r="A4" s="6"/>
      <c r="B4" s="393" t="s">
        <v>23</v>
      </c>
      <c r="C4" s="15" t="s">
        <v>24</v>
      </c>
      <c r="D4" s="16">
        <v>10578</v>
      </c>
      <c r="E4" s="17"/>
      <c r="F4" s="18"/>
      <c r="G4" s="19" t="s">
        <v>67</v>
      </c>
      <c r="H4" t="s">
        <v>80</v>
      </c>
      <c r="I4" s="155">
        <v>11020</v>
      </c>
    </row>
    <row r="5" spans="1:9" ht="15.75" customHeight="1">
      <c r="A5" s="6"/>
      <c r="B5" s="394"/>
      <c r="C5" s="20" t="s">
        <v>25</v>
      </c>
      <c r="D5" s="153">
        <f>I9</f>
        <v>198</v>
      </c>
      <c r="E5" s="21"/>
      <c r="F5" s="22"/>
      <c r="G5" s="23"/>
      <c r="H5" s="91" t="s">
        <v>81</v>
      </c>
      <c r="I5" s="156">
        <f>84618/8</f>
        <v>10577.25</v>
      </c>
    </row>
    <row r="6" spans="1:9" ht="15.75" customHeight="1">
      <c r="A6" s="6"/>
      <c r="B6" s="394"/>
      <c r="C6" s="20" t="s">
        <v>26</v>
      </c>
      <c r="D6" s="24">
        <f>D4*D5</f>
        <v>2094444</v>
      </c>
      <c r="E6" s="25">
        <f>D6*4</f>
        <v>8377776</v>
      </c>
      <c r="F6" s="26">
        <f>E6*12</f>
        <v>100533312</v>
      </c>
      <c r="G6" s="152">
        <f>(D6+D7)/D5</f>
        <v>11264.868686868687</v>
      </c>
      <c r="H6" s="6" t="s">
        <v>79</v>
      </c>
      <c r="I6" s="157">
        <v>9620</v>
      </c>
    </row>
    <row r="7" spans="1:9" ht="15.75" customHeight="1">
      <c r="A7" s="6"/>
      <c r="B7" s="394"/>
      <c r="C7" s="20" t="s">
        <v>55</v>
      </c>
      <c r="D7" s="29">
        <f>8000*(5+5+4+3)</f>
        <v>136000</v>
      </c>
      <c r="E7" s="25">
        <f>D7*4</f>
        <v>544000</v>
      </c>
      <c r="F7" s="26">
        <f>E7*12</f>
        <v>6528000</v>
      </c>
      <c r="G7" s="28"/>
      <c r="H7" s="6"/>
      <c r="I7" s="102"/>
    </row>
    <row r="8" spans="1:9" ht="15.75" customHeight="1">
      <c r="A8" s="6"/>
      <c r="B8" s="394"/>
      <c r="C8" s="20" t="s">
        <v>152</v>
      </c>
      <c r="D8" s="24">
        <f>G6*I10/28*365/12*0.5</f>
        <v>263098.3839886965</v>
      </c>
      <c r="E8" s="25">
        <f>D8*4</f>
        <v>1052393.535954786</v>
      </c>
      <c r="F8" s="26">
        <f>E8*12</f>
        <v>12628722.431457432</v>
      </c>
      <c r="G8" s="28"/>
      <c r="H8" t="s">
        <v>68</v>
      </c>
      <c r="I8" s="158">
        <f>'근무표(평일야간1)'!G13</f>
        <v>182</v>
      </c>
    </row>
    <row r="9" spans="1:9" ht="15.75" customHeight="1">
      <c r="A9" s="6"/>
      <c r="B9" s="394"/>
      <c r="C9" s="20" t="s">
        <v>153</v>
      </c>
      <c r="D9" s="29">
        <f>G6*8/12</f>
        <v>7509.9124579124582</v>
      </c>
      <c r="E9" s="25">
        <f t="shared" ref="E9:E11" si="0">D9*4</f>
        <v>30039.649831649833</v>
      </c>
      <c r="F9" s="26">
        <f t="shared" ref="F9:F22" si="1">E9*12</f>
        <v>360475.79797979799</v>
      </c>
      <c r="G9" s="28"/>
      <c r="H9" t="s">
        <v>70</v>
      </c>
      <c r="I9" s="164">
        <f>ROUNDUP('근무표(평일야간1)'!G14,0)</f>
        <v>198</v>
      </c>
    </row>
    <row r="10" spans="1:9" ht="15.75" customHeight="1">
      <c r="A10" s="6"/>
      <c r="B10" s="394"/>
      <c r="C10" s="20" t="s">
        <v>30</v>
      </c>
      <c r="D10" s="29">
        <f>G6*8*15/12</f>
        <v>112648.68686868687</v>
      </c>
      <c r="E10" s="25">
        <f t="shared" si="0"/>
        <v>450594.74747474748</v>
      </c>
      <c r="F10" s="26">
        <f>E10*12</f>
        <v>5407136.9696969697</v>
      </c>
      <c r="G10" s="28"/>
      <c r="H10" t="s">
        <v>77</v>
      </c>
      <c r="I10" s="158">
        <f>'근무표(평일야간1)'!G15</f>
        <v>43</v>
      </c>
    </row>
    <row r="11" spans="1:9" ht="15.75" customHeight="1" thickBot="1">
      <c r="A11" s="6"/>
      <c r="B11" s="394"/>
      <c r="C11" s="20" t="s">
        <v>154</v>
      </c>
      <c r="D11" s="24">
        <v>0</v>
      </c>
      <c r="E11" s="25">
        <f t="shared" si="0"/>
        <v>0</v>
      </c>
      <c r="F11" s="26">
        <f t="shared" si="1"/>
        <v>0</v>
      </c>
      <c r="G11" s="28"/>
      <c r="H11" t="s">
        <v>78</v>
      </c>
      <c r="I11" s="159">
        <f>'근무표(평일야간1)'!G16</f>
        <v>23.355654761904763</v>
      </c>
    </row>
    <row r="12" spans="1:9" ht="15.75" customHeight="1" thickBot="1">
      <c r="A12" s="6"/>
      <c r="B12" s="394"/>
      <c r="C12" s="35" t="s">
        <v>35</v>
      </c>
      <c r="D12" s="36">
        <f>SUM(D6:D11)</f>
        <v>2613700.9833152955</v>
      </c>
      <c r="E12" s="37">
        <f>SUM(E6:E11)</f>
        <v>10454803.933261182</v>
      </c>
      <c r="F12" s="37">
        <f>E12*12</f>
        <v>125457647.19913419</v>
      </c>
      <c r="G12" s="38"/>
      <c r="H12" s="6"/>
    </row>
    <row r="13" spans="1:9" ht="15.75" customHeight="1" thickBot="1">
      <c r="A13" s="6"/>
      <c r="B13" s="394"/>
      <c r="C13" s="39" t="s">
        <v>36</v>
      </c>
      <c r="D13" s="40">
        <f>D12/12</f>
        <v>217808.41527627464</v>
      </c>
      <c r="E13" s="41">
        <f>D13*4</f>
        <v>871233.66110509855</v>
      </c>
      <c r="F13" s="42">
        <f t="shared" si="1"/>
        <v>10454803.933261182</v>
      </c>
      <c r="G13" s="43" t="s">
        <v>37</v>
      </c>
      <c r="H13" s="6"/>
    </row>
    <row r="14" spans="1:9" ht="15.75" customHeight="1" thickBot="1">
      <c r="A14" s="6"/>
      <c r="B14" s="395"/>
      <c r="C14" s="44" t="s">
        <v>38</v>
      </c>
      <c r="D14" s="45">
        <f>SUM(D12:D13)</f>
        <v>2831509.3985915701</v>
      </c>
      <c r="E14" s="41">
        <f>E12+E13</f>
        <v>11326037.59436628</v>
      </c>
      <c r="F14" s="42">
        <f t="shared" si="1"/>
        <v>135912451.13239536</v>
      </c>
      <c r="G14" s="38"/>
      <c r="H14" s="6"/>
    </row>
    <row r="15" spans="1:9" ht="17.25">
      <c r="A15" s="6"/>
      <c r="B15" s="46"/>
      <c r="C15" s="47" t="s">
        <v>39</v>
      </c>
      <c r="D15" s="48">
        <v>0</v>
      </c>
      <c r="E15" s="25">
        <v>0</v>
      </c>
      <c r="F15" s="26">
        <f t="shared" si="1"/>
        <v>0</v>
      </c>
      <c r="G15" s="49" t="s">
        <v>166</v>
      </c>
      <c r="H15" s="6"/>
    </row>
    <row r="16" spans="1:9" ht="15.75" customHeight="1">
      <c r="A16" s="6"/>
      <c r="B16" s="344" t="s">
        <v>41</v>
      </c>
      <c r="C16" s="50" t="s">
        <v>42</v>
      </c>
      <c r="D16" s="51">
        <f>SUM(D12*I16)</f>
        <v>92655.699858527238</v>
      </c>
      <c r="E16" s="25">
        <f>D16*4</f>
        <v>370622.79943410895</v>
      </c>
      <c r="F16" s="26">
        <f t="shared" si="1"/>
        <v>4447473.5932093076</v>
      </c>
      <c r="G16" s="52" t="s">
        <v>102</v>
      </c>
      <c r="H16" s="101">
        <v>3.5450000000000002E-2</v>
      </c>
      <c r="I16" s="106">
        <v>3.5450000000000002E-2</v>
      </c>
    </row>
    <row r="17" spans="1:9" ht="15.75" customHeight="1">
      <c r="A17" s="6"/>
      <c r="B17" s="344"/>
      <c r="C17" s="50" t="s">
        <v>44</v>
      </c>
      <c r="D17" s="48">
        <f>SUM(D16*I17)</f>
        <v>11869.195151877339</v>
      </c>
      <c r="E17" s="25">
        <f t="shared" ref="E17:E22" si="2">D17*4</f>
        <v>47476.780607509354</v>
      </c>
      <c r="F17" s="26">
        <f t="shared" si="1"/>
        <v>569721.36729011219</v>
      </c>
      <c r="G17" s="53" t="s">
        <v>103</v>
      </c>
      <c r="H17" s="102" t="s">
        <v>104</v>
      </c>
      <c r="I17" s="105">
        <v>0.12809999999999999</v>
      </c>
    </row>
    <row r="18" spans="1:9" ht="15.75" customHeight="1">
      <c r="A18" s="6"/>
      <c r="B18" s="344"/>
      <c r="C18" s="54" t="s">
        <v>46</v>
      </c>
      <c r="D18" s="55">
        <f>SUM(D12*I18)</f>
        <v>30057.5613081259</v>
      </c>
      <c r="E18" s="25">
        <f t="shared" si="2"/>
        <v>120230.2452325036</v>
      </c>
      <c r="F18" s="26">
        <f t="shared" si="1"/>
        <v>1442762.9427900431</v>
      </c>
      <c r="G18" s="52" t="s">
        <v>105</v>
      </c>
      <c r="H18" s="102" t="s">
        <v>106</v>
      </c>
      <c r="I18" s="105">
        <v>1.15E-2</v>
      </c>
    </row>
    <row r="19" spans="1:9" ht="15.75" customHeight="1">
      <c r="A19" s="6"/>
      <c r="B19" s="344"/>
      <c r="C19" s="54" t="s">
        <v>48</v>
      </c>
      <c r="D19" s="55">
        <f>SUM(D12*I19)</f>
        <v>23523.308849837656</v>
      </c>
      <c r="E19" s="25">
        <f t="shared" si="2"/>
        <v>94093.235399350626</v>
      </c>
      <c r="F19" s="26">
        <f t="shared" si="1"/>
        <v>1129118.8247922075</v>
      </c>
      <c r="G19" s="53" t="s">
        <v>107</v>
      </c>
      <c r="H19" s="102" t="s">
        <v>108</v>
      </c>
      <c r="I19" s="104">
        <v>8.9999999999999993E-3</v>
      </c>
    </row>
    <row r="20" spans="1:9" ht="15.75" customHeight="1">
      <c r="A20" s="6"/>
      <c r="B20" s="344"/>
      <c r="C20" s="56" t="s">
        <v>50</v>
      </c>
      <c r="D20" s="57">
        <f>SUM(D12*I20)</f>
        <v>1568.2205899891771</v>
      </c>
      <c r="E20" s="25">
        <f t="shared" si="2"/>
        <v>6272.8823599567086</v>
      </c>
      <c r="F20" s="26">
        <f t="shared" si="1"/>
        <v>75274.588319480506</v>
      </c>
      <c r="G20" s="52" t="s">
        <v>109</v>
      </c>
      <c r="H20" s="103">
        <v>5.9999999999999995E-4</v>
      </c>
      <c r="I20" s="105">
        <v>5.9999999999999995E-4</v>
      </c>
    </row>
    <row r="21" spans="1:9" ht="15.75" customHeight="1">
      <c r="A21" s="6"/>
      <c r="B21" s="344"/>
      <c r="C21" s="56" t="s">
        <v>52</v>
      </c>
      <c r="D21" s="57">
        <v>20000</v>
      </c>
      <c r="E21" s="25">
        <f t="shared" si="2"/>
        <v>80000</v>
      </c>
      <c r="F21" s="26">
        <f t="shared" si="1"/>
        <v>960000</v>
      </c>
      <c r="G21" s="58" t="s">
        <v>53</v>
      </c>
      <c r="H21" s="6"/>
    </row>
    <row r="22" spans="1:9" ht="15.75" customHeight="1">
      <c r="A22" s="6"/>
      <c r="B22" s="344"/>
      <c r="C22" s="56" t="s">
        <v>54</v>
      </c>
      <c r="D22" s="57">
        <f>158400/12</f>
        <v>13200</v>
      </c>
      <c r="E22" s="25">
        <f t="shared" si="2"/>
        <v>52800</v>
      </c>
      <c r="F22" s="26">
        <f t="shared" si="1"/>
        <v>633600</v>
      </c>
      <c r="G22" s="58"/>
      <c r="H22" s="6"/>
    </row>
    <row r="23" spans="1:9" ht="15.75" customHeight="1" thickBot="1">
      <c r="A23" s="6"/>
      <c r="B23" s="344"/>
      <c r="C23" s="62" t="s">
        <v>57</v>
      </c>
      <c r="D23" s="63">
        <f>SUM(D15:D22)</f>
        <v>192873.98575835733</v>
      </c>
      <c r="E23" s="25">
        <f>SUM(E15:E22)</f>
        <v>771495.94303342933</v>
      </c>
      <c r="F23" s="64">
        <f>SUM(F15:F22)</f>
        <v>9257951.3164011501</v>
      </c>
      <c r="G23" s="65"/>
      <c r="H23" s="6"/>
    </row>
    <row r="24" spans="1:9" ht="15.75" customHeight="1" thickBot="1">
      <c r="A24" s="6"/>
      <c r="B24" s="396" t="s">
        <v>58</v>
      </c>
      <c r="C24" s="397"/>
      <c r="D24" s="45"/>
      <c r="E24" s="41"/>
      <c r="F24" s="42">
        <f>F14+F23</f>
        <v>145170402.44879651</v>
      </c>
      <c r="G24" s="66"/>
      <c r="H24" s="6"/>
    </row>
    <row r="25" spans="1:9" ht="15.75" customHeight="1" thickBot="1">
      <c r="A25" s="6"/>
      <c r="B25" s="388" t="s">
        <v>59</v>
      </c>
      <c r="C25" s="389"/>
      <c r="D25" s="67"/>
      <c r="E25" s="41"/>
      <c r="F25" s="42">
        <f>F24*I25</f>
        <v>0</v>
      </c>
      <c r="G25" s="66" t="s">
        <v>158</v>
      </c>
      <c r="H25" s="6"/>
      <c r="I25" s="154">
        <v>0</v>
      </c>
    </row>
    <row r="26" spans="1:9" ht="15.75" customHeight="1" thickBot="1">
      <c r="A26" s="6"/>
      <c r="B26" s="379" t="s">
        <v>61</v>
      </c>
      <c r="C26" s="380"/>
      <c r="D26" s="68"/>
      <c r="E26" s="69"/>
      <c r="F26" s="42">
        <f>(F24+F25)*I26</f>
        <v>0</v>
      </c>
      <c r="G26" s="70" t="s">
        <v>159</v>
      </c>
      <c r="H26" s="6"/>
      <c r="I26" s="154">
        <v>0</v>
      </c>
    </row>
    <row r="27" spans="1:9" ht="21" thickBot="1">
      <c r="A27" s="6"/>
      <c r="B27" s="381" t="s">
        <v>63</v>
      </c>
      <c r="C27" s="382"/>
      <c r="D27" s="71"/>
      <c r="E27" s="72"/>
      <c r="F27" s="73">
        <f>SUM(F24:F26)</f>
        <v>145170402.44879651</v>
      </c>
      <c r="G27" s="74"/>
      <c r="H27" s="6"/>
    </row>
    <row r="28" spans="1:9" ht="21" thickBot="1">
      <c r="A28" s="6"/>
      <c r="B28" s="383" t="s">
        <v>64</v>
      </c>
      <c r="C28" s="384"/>
      <c r="D28" s="75"/>
      <c r="E28" s="76"/>
      <c r="F28" s="72">
        <f>F27*10%</f>
        <v>14517040.244879652</v>
      </c>
      <c r="G28" s="77"/>
      <c r="H28" s="6"/>
    </row>
    <row r="29" spans="1:9" ht="26.25">
      <c r="A29" s="78"/>
      <c r="B29" s="79"/>
      <c r="C29" s="80"/>
      <c r="D29" s="385" t="s">
        <v>65</v>
      </c>
      <c r="E29" s="385"/>
      <c r="F29" s="385"/>
      <c r="G29" s="81">
        <f>F27</f>
        <v>145170402.44879651</v>
      </c>
      <c r="H29" s="78"/>
    </row>
    <row r="30" spans="1:9" ht="27" thickBot="1">
      <c r="A30" s="78"/>
      <c r="B30" s="386" t="s">
        <v>66</v>
      </c>
      <c r="C30" s="387"/>
      <c r="D30" s="387"/>
      <c r="E30" s="387"/>
      <c r="F30" s="387"/>
      <c r="G30" s="82">
        <f>F27+F28</f>
        <v>159687442.69367617</v>
      </c>
      <c r="H30" s="78"/>
    </row>
    <row r="31" spans="1:9">
      <c r="A31" s="6"/>
      <c r="B31" s="83"/>
      <c r="C31" s="83"/>
      <c r="D31" s="83"/>
      <c r="E31" s="84"/>
      <c r="F31" s="85"/>
      <c r="G31" s="85"/>
      <c r="H31" s="6"/>
    </row>
    <row r="32" spans="1:9" ht="20.25">
      <c r="A32" s="6"/>
      <c r="B32" s="86"/>
      <c r="C32" s="86"/>
      <c r="D32" s="86"/>
      <c r="E32" s="86"/>
      <c r="F32" s="86"/>
      <c r="G32" s="87"/>
      <c r="H32" s="6"/>
    </row>
  </sheetData>
  <mergeCells count="11">
    <mergeCell ref="B25:C25"/>
    <mergeCell ref="B3:C3"/>
    <mergeCell ref="H3:I3"/>
    <mergeCell ref="B4:B14"/>
    <mergeCell ref="B16:B23"/>
    <mergeCell ref="B24:C24"/>
    <mergeCell ref="B26:C26"/>
    <mergeCell ref="B27:C27"/>
    <mergeCell ref="B28:C28"/>
    <mergeCell ref="D29:F29"/>
    <mergeCell ref="B30:F30"/>
  </mergeCells>
  <phoneticPr fontId="2" type="noConversion"/>
  <pageMargins left="0.7" right="0.7" top="0.75" bottom="0.75" header="0.3" footer="0.3"/>
  <pageSetup paperSize="9" scale="62" fitToHeight="0" orientation="landscape" r:id="rId1"/>
  <ignoredErrors>
    <ignoredError sqref="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40"/>
  <sheetViews>
    <sheetView view="pageBreakPreview" topLeftCell="A4" zoomScale="85" zoomScaleNormal="85" zoomScaleSheetLayoutView="85" workbookViewId="0">
      <selection activeCell="A5" sqref="A5"/>
    </sheetView>
  </sheetViews>
  <sheetFormatPr defaultRowHeight="16.5"/>
  <cols>
    <col min="1" max="1" width="1.5" customWidth="1"/>
    <col min="2" max="2" width="13.875" customWidth="1"/>
    <col min="3" max="3" width="30.5" customWidth="1"/>
    <col min="4" max="5" width="29.5" customWidth="1"/>
    <col min="6" max="6" width="28.25" customWidth="1"/>
    <col min="7" max="7" width="28.375" style="110" customWidth="1"/>
    <col min="8" max="16" width="9" style="110"/>
  </cols>
  <sheetData>
    <row r="2" spans="2:17" ht="26.25">
      <c r="B2" s="99" t="s">
        <v>100</v>
      </c>
    </row>
    <row r="3" spans="2:17" ht="17.25" thickBot="1"/>
    <row r="4" spans="2:17">
      <c r="B4" s="436" t="s">
        <v>82</v>
      </c>
      <c r="C4" s="113" t="s">
        <v>87</v>
      </c>
      <c r="D4" s="438" t="s">
        <v>83</v>
      </c>
      <c r="E4" s="439"/>
    </row>
    <row r="5" spans="2:17" ht="17.25" thickBot="1">
      <c r="B5" s="437"/>
      <c r="C5" s="126" t="s">
        <v>86</v>
      </c>
      <c r="D5" s="126" t="s">
        <v>84</v>
      </c>
      <c r="E5" s="127" t="s">
        <v>85</v>
      </c>
      <c r="F5" s="100" t="s">
        <v>144</v>
      </c>
      <c r="G5" s="100"/>
    </row>
    <row r="6" spans="2:17" ht="29.25" customHeight="1" thickTop="1">
      <c r="B6" s="440" t="s">
        <v>88</v>
      </c>
      <c r="C6" s="125" t="s">
        <v>93</v>
      </c>
      <c r="D6" s="441" t="s">
        <v>98</v>
      </c>
      <c r="E6" s="442" t="s">
        <v>98</v>
      </c>
      <c r="F6" s="434" t="s">
        <v>145</v>
      </c>
      <c r="G6" s="100" t="s">
        <v>164</v>
      </c>
      <c r="H6" s="100"/>
    </row>
    <row r="7" spans="2:17" ht="29.25" customHeight="1">
      <c r="B7" s="427"/>
      <c r="C7" s="97" t="s">
        <v>92</v>
      </c>
      <c r="D7" s="429"/>
      <c r="E7" s="435"/>
      <c r="F7" s="434"/>
      <c r="G7" s="100" t="s">
        <v>165</v>
      </c>
      <c r="H7" s="100"/>
    </row>
    <row r="8" spans="2:17" ht="29.25" customHeight="1">
      <c r="B8" s="426" t="s">
        <v>89</v>
      </c>
      <c r="C8" s="94" t="s">
        <v>94</v>
      </c>
      <c r="D8" s="96" t="s">
        <v>99</v>
      </c>
      <c r="E8" s="432" t="s">
        <v>98</v>
      </c>
      <c r="F8" s="434"/>
      <c r="G8" s="167" t="s">
        <v>170</v>
      </c>
      <c r="H8" s="100"/>
    </row>
    <row r="9" spans="2:17" ht="29.25" customHeight="1">
      <c r="B9" s="427"/>
      <c r="C9" s="97" t="s">
        <v>95</v>
      </c>
      <c r="D9" s="98" t="s">
        <v>155</v>
      </c>
      <c r="E9" s="435"/>
      <c r="F9" s="100" t="s">
        <v>146</v>
      </c>
      <c r="G9" s="111"/>
    </row>
    <row r="10" spans="2:17" ht="29.25" customHeight="1">
      <c r="B10" s="426" t="s">
        <v>91</v>
      </c>
      <c r="C10" s="94" t="s">
        <v>96</v>
      </c>
      <c r="D10" s="428" t="s">
        <v>98</v>
      </c>
      <c r="E10" s="116" t="s">
        <v>99</v>
      </c>
      <c r="F10" s="5" t="s">
        <v>147</v>
      </c>
      <c r="G10" s="107"/>
    </row>
    <row r="11" spans="2:17" ht="29.25" customHeight="1">
      <c r="B11" s="427"/>
      <c r="C11" s="97" t="s">
        <v>95</v>
      </c>
      <c r="D11" s="429"/>
      <c r="E11" s="117" t="s">
        <v>155</v>
      </c>
      <c r="F11" s="5" t="s">
        <v>148</v>
      </c>
      <c r="G11" s="107"/>
    </row>
    <row r="12" spans="2:17" ht="29.25" customHeight="1">
      <c r="B12" s="426" t="s">
        <v>90</v>
      </c>
      <c r="C12" s="94" t="s">
        <v>97</v>
      </c>
      <c r="D12" s="428" t="s">
        <v>98</v>
      </c>
      <c r="E12" s="432" t="s">
        <v>98</v>
      </c>
    </row>
    <row r="13" spans="2:17" ht="29.25" customHeight="1" thickBot="1">
      <c r="B13" s="430"/>
      <c r="C13" s="166" t="s">
        <v>169</v>
      </c>
      <c r="D13" s="431"/>
      <c r="E13" s="433"/>
    </row>
    <row r="14" spans="2:17" ht="17.25" thickBot="1">
      <c r="B14" s="1"/>
      <c r="C14" s="1"/>
      <c r="D14" s="1"/>
      <c r="E14" s="1"/>
    </row>
    <row r="15" spans="2:17" ht="17.25" thickBot="1">
      <c r="B15" s="130" t="s">
        <v>142</v>
      </c>
      <c r="C15" s="131" t="s">
        <v>160</v>
      </c>
      <c r="D15" s="131" t="s">
        <v>167</v>
      </c>
      <c r="E15" s="131" t="s">
        <v>167</v>
      </c>
      <c r="F15" s="163" t="s">
        <v>161</v>
      </c>
      <c r="G15" s="132" t="s">
        <v>168</v>
      </c>
      <c r="Q15" s="110"/>
    </row>
    <row r="16" spans="2:17" ht="12.95" customHeight="1" thickTop="1">
      <c r="B16" s="165" t="s">
        <v>112</v>
      </c>
      <c r="C16" s="422" t="s">
        <v>139</v>
      </c>
      <c r="D16" s="411" t="s">
        <v>149</v>
      </c>
      <c r="E16" s="151"/>
      <c r="F16" s="404" t="s">
        <v>162</v>
      </c>
      <c r="G16" s="406" t="s">
        <v>156</v>
      </c>
      <c r="Q16" s="110"/>
    </row>
    <row r="17" spans="2:17" ht="12.95" customHeight="1">
      <c r="B17" s="120" t="s">
        <v>113</v>
      </c>
      <c r="C17" s="416"/>
      <c r="D17" s="423"/>
      <c r="E17" s="409" t="s">
        <v>150</v>
      </c>
      <c r="F17" s="405"/>
      <c r="G17" s="407"/>
      <c r="Q17" s="110"/>
    </row>
    <row r="18" spans="2:17" ht="12.95" customHeight="1">
      <c r="B18" s="120" t="s">
        <v>114</v>
      </c>
      <c r="C18" s="416"/>
      <c r="D18" s="423"/>
      <c r="E18" s="410"/>
      <c r="F18" s="405"/>
      <c r="G18" s="407"/>
      <c r="Q18" s="110"/>
    </row>
    <row r="19" spans="2:17" ht="12.95" customHeight="1">
      <c r="B19" s="121" t="s">
        <v>115</v>
      </c>
      <c r="C19" s="416"/>
      <c r="D19" s="423"/>
      <c r="E19" s="410"/>
      <c r="F19" s="405"/>
      <c r="G19" s="407"/>
      <c r="Q19" s="110"/>
    </row>
    <row r="20" spans="2:17" ht="12.95" customHeight="1">
      <c r="B20" s="120" t="s">
        <v>116</v>
      </c>
      <c r="C20" s="416"/>
      <c r="D20" s="423"/>
      <c r="E20" s="410"/>
      <c r="F20" s="405"/>
      <c r="G20" s="407"/>
      <c r="Q20" s="110"/>
    </row>
    <row r="21" spans="2:17" ht="12.75" customHeight="1">
      <c r="B21" s="120" t="s">
        <v>117</v>
      </c>
      <c r="C21" s="417"/>
      <c r="D21" s="423"/>
      <c r="E21" s="410"/>
      <c r="F21" s="412" t="s">
        <v>163</v>
      </c>
      <c r="G21" s="407"/>
      <c r="Q21" s="110"/>
    </row>
    <row r="22" spans="2:17" ht="12.95" customHeight="1">
      <c r="B22" s="120" t="s">
        <v>118</v>
      </c>
      <c r="C22" s="414" t="s">
        <v>137</v>
      </c>
      <c r="D22" s="423"/>
      <c r="E22" s="410"/>
      <c r="F22" s="365"/>
      <c r="G22" s="407"/>
      <c r="Q22" s="110"/>
    </row>
    <row r="23" spans="2:17" ht="12.75" customHeight="1">
      <c r="B23" s="120" t="s">
        <v>119</v>
      </c>
      <c r="C23" s="415"/>
      <c r="D23" s="409" t="s">
        <v>151</v>
      </c>
      <c r="E23" s="410"/>
      <c r="F23" s="413"/>
      <c r="G23" s="407"/>
      <c r="Q23" s="110"/>
    </row>
    <row r="24" spans="2:17" ht="12.95" customHeight="1">
      <c r="B24" s="120" t="s">
        <v>120</v>
      </c>
      <c r="C24" s="398" t="s">
        <v>139</v>
      </c>
      <c r="D24" s="410"/>
      <c r="E24" s="410"/>
      <c r="F24" s="418" t="s">
        <v>162</v>
      </c>
      <c r="G24" s="407"/>
      <c r="Q24" s="110"/>
    </row>
    <row r="25" spans="2:17" ht="12.95" customHeight="1">
      <c r="B25" s="120" t="s">
        <v>121</v>
      </c>
      <c r="C25" s="416"/>
      <c r="D25" s="410"/>
      <c r="E25" s="410"/>
      <c r="F25" s="405"/>
      <c r="G25" s="407"/>
      <c r="Q25" s="110"/>
    </row>
    <row r="26" spans="2:17" ht="12.95" customHeight="1">
      <c r="B26" s="121" t="s">
        <v>122</v>
      </c>
      <c r="C26" s="416"/>
      <c r="D26" s="410"/>
      <c r="E26" s="410"/>
      <c r="F26" s="405"/>
      <c r="G26" s="407"/>
      <c r="Q26" s="110"/>
    </row>
    <row r="27" spans="2:17" ht="12.95" customHeight="1">
      <c r="B27" s="120" t="s">
        <v>123</v>
      </c>
      <c r="C27" s="416"/>
      <c r="D27" s="410"/>
      <c r="E27" s="411"/>
      <c r="F27" s="405"/>
      <c r="G27" s="407"/>
      <c r="Q27" s="110"/>
    </row>
    <row r="28" spans="2:17" ht="12.95" customHeight="1">
      <c r="B28" s="120" t="s">
        <v>124</v>
      </c>
      <c r="C28" s="416"/>
      <c r="D28" s="410"/>
      <c r="E28" s="419"/>
      <c r="F28" s="405"/>
      <c r="G28" s="407"/>
      <c r="Q28" s="110"/>
    </row>
    <row r="29" spans="2:17" ht="12.95" customHeight="1">
      <c r="B29" s="120" t="s">
        <v>125</v>
      </c>
      <c r="C29" s="417"/>
      <c r="D29" s="411"/>
      <c r="E29" s="420"/>
      <c r="F29" s="412" t="s">
        <v>163</v>
      </c>
      <c r="G29" s="407"/>
      <c r="Q29" s="110"/>
    </row>
    <row r="30" spans="2:17" ht="12.95" customHeight="1">
      <c r="B30" s="120" t="s">
        <v>126</v>
      </c>
      <c r="C30" s="129" t="s">
        <v>137</v>
      </c>
      <c r="D30" s="409" t="s">
        <v>173</v>
      </c>
      <c r="E30" s="420"/>
      <c r="F30" s="413"/>
      <c r="G30" s="407"/>
      <c r="Q30" s="110"/>
    </row>
    <row r="31" spans="2:17" ht="12.95" customHeight="1">
      <c r="B31" s="120" t="s">
        <v>127</v>
      </c>
      <c r="C31" s="398" t="s">
        <v>140</v>
      </c>
      <c r="D31" s="410"/>
      <c r="E31" s="420"/>
      <c r="F31" s="398" t="s">
        <v>140</v>
      </c>
      <c r="G31" s="407"/>
      <c r="Q31" s="110"/>
    </row>
    <row r="32" spans="2:17" ht="12.75" customHeight="1">
      <c r="B32" s="120" t="s">
        <v>128</v>
      </c>
      <c r="C32" s="416"/>
      <c r="D32" s="410"/>
      <c r="E32" s="420"/>
      <c r="F32" s="416"/>
      <c r="G32" s="407"/>
      <c r="Q32" s="110"/>
    </row>
    <row r="33" spans="2:17" ht="12.95" customHeight="1">
      <c r="B33" s="120" t="s">
        <v>129</v>
      </c>
      <c r="C33" s="416"/>
      <c r="D33" s="410"/>
      <c r="E33" s="420"/>
      <c r="F33" s="416"/>
      <c r="G33" s="407"/>
      <c r="Q33" s="110"/>
    </row>
    <row r="34" spans="2:17" ht="12.95" customHeight="1">
      <c r="B34" s="120" t="s">
        <v>130</v>
      </c>
      <c r="C34" s="417"/>
      <c r="D34" s="410"/>
      <c r="E34" s="420"/>
      <c r="F34" s="417"/>
      <c r="G34" s="407"/>
      <c r="Q34" s="110"/>
    </row>
    <row r="35" spans="2:17" ht="12.95" customHeight="1">
      <c r="B35" s="120" t="s">
        <v>131</v>
      </c>
      <c r="C35" s="400" t="s">
        <v>163</v>
      </c>
      <c r="D35" s="410"/>
      <c r="E35" s="420"/>
      <c r="F35" s="414" t="s">
        <v>138</v>
      </c>
      <c r="G35" s="407"/>
      <c r="Q35" s="110"/>
    </row>
    <row r="36" spans="2:17" ht="12.95" customHeight="1">
      <c r="B36" s="120" t="s">
        <v>132</v>
      </c>
      <c r="C36" s="401"/>
      <c r="D36" s="410"/>
      <c r="E36" s="420"/>
      <c r="F36" s="425"/>
      <c r="G36" s="407"/>
      <c r="Q36" s="110"/>
    </row>
    <row r="37" spans="2:17" ht="12.95" customHeight="1">
      <c r="B37" s="120" t="s">
        <v>133</v>
      </c>
      <c r="C37" s="402" t="s">
        <v>140</v>
      </c>
      <c r="D37" s="410"/>
      <c r="E37" s="420"/>
      <c r="F37" s="425"/>
      <c r="G37" s="407"/>
      <c r="Q37" s="110"/>
    </row>
    <row r="38" spans="2:17" ht="12.95" customHeight="1">
      <c r="B38" s="120" t="s">
        <v>134</v>
      </c>
      <c r="C38" s="402"/>
      <c r="D38" s="410"/>
      <c r="E38" s="420"/>
      <c r="F38" s="415"/>
      <c r="G38" s="407"/>
      <c r="Q38" s="110"/>
    </row>
    <row r="39" spans="2:17" ht="12.95" customHeight="1">
      <c r="B39" s="120" t="s">
        <v>135</v>
      </c>
      <c r="C39" s="402"/>
      <c r="D39" s="410"/>
      <c r="E39" s="420"/>
      <c r="F39" s="398" t="s">
        <v>141</v>
      </c>
      <c r="G39" s="407"/>
      <c r="Q39" s="110"/>
    </row>
    <row r="40" spans="2:17" ht="12.95" customHeight="1" thickBot="1">
      <c r="B40" s="124" t="s">
        <v>136</v>
      </c>
      <c r="C40" s="403"/>
      <c r="D40" s="424"/>
      <c r="E40" s="421"/>
      <c r="F40" s="399"/>
      <c r="G40" s="408"/>
      <c r="Q40" s="110"/>
    </row>
  </sheetData>
  <mergeCells count="32">
    <mergeCell ref="F6:F8"/>
    <mergeCell ref="B8:B9"/>
    <mergeCell ref="E8:E9"/>
    <mergeCell ref="B4:B5"/>
    <mergeCell ref="D4:E4"/>
    <mergeCell ref="B6:B7"/>
    <mergeCell ref="D6:D7"/>
    <mergeCell ref="E6:E7"/>
    <mergeCell ref="C31:C34"/>
    <mergeCell ref="F31:F34"/>
    <mergeCell ref="F35:F38"/>
    <mergeCell ref="B10:B11"/>
    <mergeCell ref="D10:D11"/>
    <mergeCell ref="B12:B13"/>
    <mergeCell ref="D12:D13"/>
    <mergeCell ref="E12:E13"/>
    <mergeCell ref="F39:F40"/>
    <mergeCell ref="C35:C36"/>
    <mergeCell ref="C37:C40"/>
    <mergeCell ref="F16:F20"/>
    <mergeCell ref="G16:G40"/>
    <mergeCell ref="E17:E27"/>
    <mergeCell ref="F21:F23"/>
    <mergeCell ref="C22:C23"/>
    <mergeCell ref="D23:D29"/>
    <mergeCell ref="C24:C29"/>
    <mergeCell ref="F24:F28"/>
    <mergeCell ref="E28:E40"/>
    <mergeCell ref="F29:F30"/>
    <mergeCell ref="C16:C21"/>
    <mergeCell ref="D16:D22"/>
    <mergeCell ref="D30:D40"/>
  </mergeCells>
  <phoneticPr fontId="2" type="noConversion"/>
  <pageMargins left="0.7" right="0.7" top="0.75" bottom="0.75" header="0.3" footer="0.3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27"/>
  <sheetViews>
    <sheetView workbookViewId="0">
      <selection activeCell="A5" sqref="A5"/>
    </sheetView>
  </sheetViews>
  <sheetFormatPr defaultRowHeight="16.5"/>
  <cols>
    <col min="1" max="1" width="19.75" style="1" bestFit="1" customWidth="1"/>
    <col min="2" max="6" width="9" style="1"/>
    <col min="7" max="7" width="10.125" style="1" bestFit="1" customWidth="1"/>
    <col min="8" max="16384" width="9" style="1"/>
  </cols>
  <sheetData>
    <row r="1" spans="1:36">
      <c r="A1" s="92"/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3">
        <v>6</v>
      </c>
      <c r="H1" s="93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3">
        <v>13</v>
      </c>
      <c r="O1" s="93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3">
        <v>20</v>
      </c>
      <c r="V1" s="93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3">
        <v>27</v>
      </c>
      <c r="AC1" s="93">
        <v>28</v>
      </c>
      <c r="AD1" s="92">
        <v>29</v>
      </c>
      <c r="AE1" s="92">
        <v>30</v>
      </c>
      <c r="AF1" s="92">
        <v>31</v>
      </c>
    </row>
    <row r="2" spans="1:36">
      <c r="A2" s="92" t="s">
        <v>1</v>
      </c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  <c r="G2" s="4" t="s">
        <v>5</v>
      </c>
      <c r="H2" s="4" t="s">
        <v>5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4" t="s">
        <v>7</v>
      </c>
      <c r="O2" s="4" t="s">
        <v>5</v>
      </c>
      <c r="P2" s="3" t="s">
        <v>8</v>
      </c>
      <c r="Q2" s="3" t="s">
        <v>8</v>
      </c>
      <c r="R2" s="3" t="s">
        <v>8</v>
      </c>
      <c r="S2" s="3" t="s">
        <v>8</v>
      </c>
      <c r="T2" s="3" t="s">
        <v>8</v>
      </c>
      <c r="U2" s="4" t="s">
        <v>5</v>
      </c>
      <c r="V2" s="4" t="s">
        <v>7</v>
      </c>
      <c r="W2" s="3" t="s">
        <v>9</v>
      </c>
      <c r="X2" s="3" t="s">
        <v>9</v>
      </c>
      <c r="Y2" s="3" t="s">
        <v>9</v>
      </c>
      <c r="Z2" s="3" t="s">
        <v>9</v>
      </c>
      <c r="AA2" s="3" t="s">
        <v>9</v>
      </c>
      <c r="AB2" s="4" t="s">
        <v>5</v>
      </c>
      <c r="AC2" s="4" t="s">
        <v>5</v>
      </c>
      <c r="AD2" s="3" t="s">
        <v>0</v>
      </c>
      <c r="AE2" s="3" t="s">
        <v>0</v>
      </c>
      <c r="AF2" s="3" t="s">
        <v>0</v>
      </c>
    </row>
    <row r="3" spans="1:36">
      <c r="A3" s="92" t="s">
        <v>2</v>
      </c>
      <c r="B3" s="3" t="s">
        <v>6</v>
      </c>
      <c r="C3" s="3" t="s">
        <v>6</v>
      </c>
      <c r="D3" s="3" t="s">
        <v>6</v>
      </c>
      <c r="E3" s="3" t="s">
        <v>6</v>
      </c>
      <c r="F3" s="3" t="s">
        <v>6</v>
      </c>
      <c r="G3" s="4" t="s">
        <v>7</v>
      </c>
      <c r="H3" s="4" t="s">
        <v>5</v>
      </c>
      <c r="I3" s="3" t="s">
        <v>8</v>
      </c>
      <c r="J3" s="3" t="s">
        <v>8</v>
      </c>
      <c r="K3" s="3" t="s">
        <v>8</v>
      </c>
      <c r="L3" s="3" t="s">
        <v>8</v>
      </c>
      <c r="M3" s="3" t="s">
        <v>8</v>
      </c>
      <c r="N3" s="4" t="s">
        <v>5</v>
      </c>
      <c r="O3" s="4" t="s">
        <v>7</v>
      </c>
      <c r="P3" s="3" t="s">
        <v>9</v>
      </c>
      <c r="Q3" s="3" t="s">
        <v>9</v>
      </c>
      <c r="R3" s="3" t="s">
        <v>9</v>
      </c>
      <c r="S3" s="3" t="s">
        <v>9</v>
      </c>
      <c r="T3" s="3" t="s">
        <v>9</v>
      </c>
      <c r="U3" s="4" t="s">
        <v>5</v>
      </c>
      <c r="V3" s="4" t="s">
        <v>5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4" t="s">
        <v>5</v>
      </c>
      <c r="AC3" s="4" t="s">
        <v>5</v>
      </c>
      <c r="AD3" s="3" t="s">
        <v>6</v>
      </c>
      <c r="AE3" s="3" t="s">
        <v>6</v>
      </c>
      <c r="AF3" s="3" t="s">
        <v>6</v>
      </c>
    </row>
    <row r="4" spans="1:36">
      <c r="A4" s="92" t="s">
        <v>3</v>
      </c>
      <c r="B4" s="3" t="s">
        <v>8</v>
      </c>
      <c r="C4" s="3" t="s">
        <v>8</v>
      </c>
      <c r="D4" s="3" t="s">
        <v>8</v>
      </c>
      <c r="E4" s="3" t="s">
        <v>8</v>
      </c>
      <c r="F4" s="3" t="s">
        <v>8</v>
      </c>
      <c r="G4" s="4" t="s">
        <v>5</v>
      </c>
      <c r="H4" s="4" t="s">
        <v>7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9</v>
      </c>
      <c r="N4" s="4" t="s">
        <v>5</v>
      </c>
      <c r="O4" s="4" t="s">
        <v>5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4" t="s">
        <v>5</v>
      </c>
      <c r="V4" s="4" t="s">
        <v>5</v>
      </c>
      <c r="W4" s="3" t="s">
        <v>6</v>
      </c>
      <c r="X4" s="3" t="s">
        <v>6</v>
      </c>
      <c r="Y4" s="3" t="s">
        <v>6</v>
      </c>
      <c r="Z4" s="3" t="s">
        <v>6</v>
      </c>
      <c r="AA4" s="3" t="s">
        <v>6</v>
      </c>
      <c r="AB4" s="4" t="s">
        <v>7</v>
      </c>
      <c r="AC4" s="4" t="s">
        <v>5</v>
      </c>
      <c r="AD4" s="3" t="s">
        <v>8</v>
      </c>
      <c r="AE4" s="3" t="s">
        <v>8</v>
      </c>
      <c r="AF4" s="3" t="s">
        <v>8</v>
      </c>
      <c r="AI4" s="2"/>
      <c r="AJ4" s="2"/>
    </row>
    <row r="5" spans="1:36">
      <c r="A5" s="92" t="s">
        <v>4</v>
      </c>
      <c r="B5" s="3" t="s">
        <v>9</v>
      </c>
      <c r="C5" s="3" t="s">
        <v>9</v>
      </c>
      <c r="D5" s="3" t="s">
        <v>9</v>
      </c>
      <c r="E5" s="3" t="s">
        <v>9</v>
      </c>
      <c r="F5" s="3" t="s">
        <v>9</v>
      </c>
      <c r="G5" s="4" t="s">
        <v>5</v>
      </c>
      <c r="H5" s="4" t="s">
        <v>5</v>
      </c>
      <c r="I5" s="3" t="s">
        <v>0</v>
      </c>
      <c r="J5" s="3" t="s">
        <v>0</v>
      </c>
      <c r="K5" s="3" t="s">
        <v>0</v>
      </c>
      <c r="L5" s="3" t="s">
        <v>0</v>
      </c>
      <c r="M5" s="3" t="s">
        <v>0</v>
      </c>
      <c r="N5" s="4" t="s">
        <v>5</v>
      </c>
      <c r="O5" s="4" t="s">
        <v>5</v>
      </c>
      <c r="P5" s="3" t="s">
        <v>6</v>
      </c>
      <c r="Q5" s="3" t="s">
        <v>6</v>
      </c>
      <c r="R5" s="3" t="s">
        <v>6</v>
      </c>
      <c r="S5" s="3" t="s">
        <v>6</v>
      </c>
      <c r="T5" s="3" t="s">
        <v>6</v>
      </c>
      <c r="U5" s="4" t="s">
        <v>7</v>
      </c>
      <c r="V5" s="4" t="s">
        <v>5</v>
      </c>
      <c r="W5" s="3" t="s">
        <v>8</v>
      </c>
      <c r="X5" s="3" t="s">
        <v>8</v>
      </c>
      <c r="Y5" s="3" t="s">
        <v>8</v>
      </c>
      <c r="Z5" s="3" t="s">
        <v>8</v>
      </c>
      <c r="AA5" s="3" t="s">
        <v>8</v>
      </c>
      <c r="AB5" s="4" t="s">
        <v>5</v>
      </c>
      <c r="AC5" s="4" t="s">
        <v>7</v>
      </c>
      <c r="AD5" s="3" t="s">
        <v>9</v>
      </c>
      <c r="AE5" s="3" t="s">
        <v>9</v>
      </c>
      <c r="AF5" s="3" t="s">
        <v>9</v>
      </c>
    </row>
    <row r="6" spans="1:36" ht="17.25" thickBot="1"/>
    <row r="7" spans="1:36">
      <c r="A7" s="112"/>
      <c r="B7" s="113" t="s">
        <v>11</v>
      </c>
      <c r="C7" s="113" t="s">
        <v>10</v>
      </c>
      <c r="D7" s="113" t="s">
        <v>12</v>
      </c>
      <c r="E7" s="114" t="s">
        <v>9</v>
      </c>
      <c r="F7" s="5"/>
    </row>
    <row r="8" spans="1:36">
      <c r="A8" s="133" t="s">
        <v>0</v>
      </c>
      <c r="B8" s="3">
        <f>C8+D8</f>
        <v>10</v>
      </c>
      <c r="C8" s="161">
        <v>9</v>
      </c>
      <c r="D8" s="3">
        <v>1</v>
      </c>
      <c r="E8" s="134"/>
      <c r="G8" s="89"/>
      <c r="H8" s="90"/>
    </row>
    <row r="9" spans="1:36">
      <c r="A9" s="133" t="s">
        <v>6</v>
      </c>
      <c r="B9" s="3">
        <f>C9+D9</f>
        <v>6.5</v>
      </c>
      <c r="C9" s="161">
        <v>6</v>
      </c>
      <c r="D9" s="3">
        <v>0.5</v>
      </c>
      <c r="E9" s="134"/>
      <c r="G9" s="90"/>
      <c r="H9" s="90"/>
    </row>
    <row r="10" spans="1:36">
      <c r="A10" s="133" t="s">
        <v>8</v>
      </c>
      <c r="B10" s="3">
        <f>C10+D10</f>
        <v>6.5</v>
      </c>
      <c r="C10" s="161">
        <v>6</v>
      </c>
      <c r="D10" s="3">
        <v>0.5</v>
      </c>
      <c r="E10" s="134"/>
      <c r="G10" s="90"/>
      <c r="H10" s="90"/>
    </row>
    <row r="11" spans="1:36">
      <c r="A11" s="133" t="s">
        <v>9</v>
      </c>
      <c r="B11" s="3">
        <f>C11+D11</f>
        <v>11</v>
      </c>
      <c r="C11" s="168">
        <v>8</v>
      </c>
      <c r="D11" s="168">
        <v>3</v>
      </c>
      <c r="E11" s="169">
        <v>6</v>
      </c>
    </row>
    <row r="12" spans="1:36" ht="17.25" thickBot="1">
      <c r="A12" s="135" t="s">
        <v>7</v>
      </c>
      <c r="B12" s="136">
        <f>C12+D12</f>
        <v>24</v>
      </c>
      <c r="C12" s="162">
        <v>16</v>
      </c>
      <c r="D12" s="136">
        <v>8</v>
      </c>
      <c r="E12" s="160">
        <v>4</v>
      </c>
    </row>
    <row r="13" spans="1:36" ht="17.25" thickBot="1"/>
    <row r="14" spans="1:36">
      <c r="A14" s="112"/>
      <c r="B14" s="113" t="s">
        <v>0</v>
      </c>
      <c r="C14" s="113" t="s">
        <v>6</v>
      </c>
      <c r="D14" s="113" t="s">
        <v>8</v>
      </c>
      <c r="E14" s="113" t="s">
        <v>9</v>
      </c>
      <c r="F14" s="113" t="s">
        <v>7</v>
      </c>
      <c r="G14" s="114" t="s">
        <v>14</v>
      </c>
    </row>
    <row r="15" spans="1:36">
      <c r="A15" s="137" t="s">
        <v>1</v>
      </c>
      <c r="B15" s="94">
        <f>COUNTIF($B$2:$AF$2,$B$14)</f>
        <v>8</v>
      </c>
      <c r="C15" s="94">
        <f>COUNTIF($B$2:$AF$2,$C$14)</f>
        <v>5</v>
      </c>
      <c r="D15" s="94">
        <f>COUNTIF($B$2:$AF$2,$D$14)</f>
        <v>5</v>
      </c>
      <c r="E15" s="94">
        <f>COUNTIF($B$2:$AF$2,$E$14)</f>
        <v>5</v>
      </c>
      <c r="F15" s="94">
        <f>COUNTIF($B$2:$AF$2,$F$14)</f>
        <v>2</v>
      </c>
      <c r="G15" s="115"/>
    </row>
    <row r="16" spans="1:36">
      <c r="A16" s="138" t="s">
        <v>13</v>
      </c>
      <c r="B16" s="95">
        <f>$C$8*B15</f>
        <v>72</v>
      </c>
      <c r="C16" s="95">
        <f>$C$9*C15</f>
        <v>30</v>
      </c>
      <c r="D16" s="95">
        <f>$C$10*D15</f>
        <v>30</v>
      </c>
      <c r="E16" s="95">
        <f>$C$11*E15</f>
        <v>40</v>
      </c>
      <c r="F16" s="95">
        <f>$C$12*F15</f>
        <v>32</v>
      </c>
      <c r="G16" s="139">
        <f>SUM(B16:F16)</f>
        <v>204</v>
      </c>
    </row>
    <row r="17" spans="1:7">
      <c r="A17" s="137" t="s">
        <v>2</v>
      </c>
      <c r="B17" s="94">
        <f>COUNTIF($B$3:$AF$3,$B$14)</f>
        <v>5</v>
      </c>
      <c r="C17" s="94">
        <f>COUNTIF($B$3:$AF$3,$C$14)</f>
        <v>8</v>
      </c>
      <c r="D17" s="94">
        <f>COUNTIF($B$3:$AF$3,$D$14)</f>
        <v>5</v>
      </c>
      <c r="E17" s="94">
        <f>COUNTIF($B$3:$AF$3,$E$14)</f>
        <v>5</v>
      </c>
      <c r="F17" s="94">
        <f>COUNTIF($B$3:$AF$3,$F$14)</f>
        <v>2</v>
      </c>
      <c r="G17" s="115"/>
    </row>
    <row r="18" spans="1:7">
      <c r="A18" s="138" t="s">
        <v>13</v>
      </c>
      <c r="B18" s="95">
        <f>$C$8*B17</f>
        <v>45</v>
      </c>
      <c r="C18" s="95">
        <f>$C$9*C17</f>
        <v>48</v>
      </c>
      <c r="D18" s="95">
        <f>$C$10*D17</f>
        <v>30</v>
      </c>
      <c r="E18" s="95">
        <f>$C$11*E17</f>
        <v>40</v>
      </c>
      <c r="F18" s="95">
        <f>$C$12*F17</f>
        <v>32</v>
      </c>
      <c r="G18" s="139">
        <f>SUM(B18:F18)</f>
        <v>195</v>
      </c>
    </row>
    <row r="19" spans="1:7">
      <c r="A19" s="137" t="s">
        <v>3</v>
      </c>
      <c r="B19" s="94">
        <f>COUNTIF($B$4:$AF$4,$B$14)</f>
        <v>5</v>
      </c>
      <c r="C19" s="94">
        <f>COUNTIF($B$4:$AF$4,$C$14)</f>
        <v>5</v>
      </c>
      <c r="D19" s="94">
        <f>COUNTIF($B$4:$AF$4,$D$14)</f>
        <v>8</v>
      </c>
      <c r="E19" s="94">
        <f>COUNTIF($B$4:$AF$4,$E$14)</f>
        <v>5</v>
      </c>
      <c r="F19" s="94">
        <f>COUNTIF($B$4:$AF$4,$F$14)</f>
        <v>2</v>
      </c>
      <c r="G19" s="115"/>
    </row>
    <row r="20" spans="1:7">
      <c r="A20" s="138" t="s">
        <v>13</v>
      </c>
      <c r="B20" s="95">
        <f>$C$8*B19</f>
        <v>45</v>
      </c>
      <c r="C20" s="95">
        <f>$C$9*C19</f>
        <v>30</v>
      </c>
      <c r="D20" s="95">
        <f>$C$10*D19</f>
        <v>48</v>
      </c>
      <c r="E20" s="95">
        <f>$C$11*E19</f>
        <v>40</v>
      </c>
      <c r="F20" s="95">
        <f>$C$12*F19</f>
        <v>32</v>
      </c>
      <c r="G20" s="139">
        <f>SUM(B20:F20)</f>
        <v>195</v>
      </c>
    </row>
    <row r="21" spans="1:7">
      <c r="A21" s="137" t="s">
        <v>4</v>
      </c>
      <c r="B21" s="94">
        <f>COUNTIF($B$5:$AF$5,$B$14)</f>
        <v>5</v>
      </c>
      <c r="C21" s="94">
        <f>COUNTIF($B$5:$AF$5,$C$14)</f>
        <v>5</v>
      </c>
      <c r="D21" s="94">
        <f>COUNTIF($B$5:$AF$5,$D$14)</f>
        <v>5</v>
      </c>
      <c r="E21" s="94">
        <f>COUNTIF($B$5:$AF$5,$E$14)</f>
        <v>8</v>
      </c>
      <c r="F21" s="94">
        <f>COUNTIF($B$5:$AF$5,$F$14)</f>
        <v>2</v>
      </c>
      <c r="G21" s="115"/>
    </row>
    <row r="22" spans="1:7" ht="17.25" thickBot="1">
      <c r="A22" s="140" t="s">
        <v>13</v>
      </c>
      <c r="B22" s="118">
        <f>$C$8*B21</f>
        <v>45</v>
      </c>
      <c r="C22" s="118">
        <f>$C$9*C21</f>
        <v>30</v>
      </c>
      <c r="D22" s="118">
        <f>$C$10*D21</f>
        <v>30</v>
      </c>
      <c r="E22" s="118">
        <f>$C$11*E21</f>
        <v>64</v>
      </c>
      <c r="F22" s="118">
        <f>$C$12*F21</f>
        <v>32</v>
      </c>
      <c r="G22" s="141">
        <f>SUM(B22:F22)</f>
        <v>201</v>
      </c>
    </row>
    <row r="23" spans="1:7" ht="17.25" thickBot="1"/>
    <row r="24" spans="1:7">
      <c r="A24" s="142" t="s">
        <v>69</v>
      </c>
      <c r="B24" s="143" t="s">
        <v>171</v>
      </c>
      <c r="C24" s="144"/>
      <c r="D24" s="373"/>
      <c r="E24" s="374"/>
      <c r="F24" s="375"/>
      <c r="G24" s="145">
        <f>5*(C8+C9+C10+C11)+2*C12</f>
        <v>177</v>
      </c>
    </row>
    <row r="25" spans="1:7">
      <c r="A25" s="146" t="s">
        <v>71</v>
      </c>
      <c r="B25" s="108" t="s">
        <v>72</v>
      </c>
      <c r="C25" s="109"/>
      <c r="D25" s="109"/>
      <c r="E25" s="109"/>
      <c r="F25" s="109"/>
      <c r="G25" s="147">
        <f>G24/28*365/12</f>
        <v>192.27678571428569</v>
      </c>
    </row>
    <row r="26" spans="1:7">
      <c r="A26" s="146" t="s">
        <v>73</v>
      </c>
      <c r="B26" s="108" t="s">
        <v>172</v>
      </c>
      <c r="C26" s="109"/>
      <c r="D26" s="376"/>
      <c r="E26" s="377"/>
      <c r="F26" s="378"/>
      <c r="G26" s="148">
        <f>5*E11+2*E12</f>
        <v>38</v>
      </c>
    </row>
    <row r="27" spans="1:7" ht="17.25" thickBot="1">
      <c r="A27" s="140" t="s">
        <v>75</v>
      </c>
      <c r="B27" s="149" t="s">
        <v>76</v>
      </c>
      <c r="C27" s="118"/>
      <c r="D27" s="118"/>
      <c r="E27" s="118"/>
      <c r="F27" s="118"/>
      <c r="G27" s="150">
        <f>G26/28*365/12*0.5</f>
        <v>20.639880952380953</v>
      </c>
    </row>
  </sheetData>
  <mergeCells count="2">
    <mergeCell ref="D24:F24"/>
    <mergeCell ref="D26:F26"/>
  </mergeCells>
  <phoneticPr fontId="2" type="noConversion"/>
  <pageMargins left="0.7" right="0.7" top="0.75" bottom="0.75" header="0.3" footer="0.3"/>
  <pageSetup paperSize="9" scale="96" orientation="portrait" r:id="rId1"/>
  <ignoredErrors>
    <ignoredError sqref="B17:F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opLeftCell="A7" workbookViewId="0">
      <selection activeCell="A5" sqref="A5"/>
    </sheetView>
  </sheetViews>
  <sheetFormatPr defaultRowHeight="16.5"/>
  <cols>
    <col min="1" max="1" width="2" customWidth="1"/>
    <col min="2" max="2" width="11.25" customWidth="1"/>
    <col min="3" max="5" width="16.25" customWidth="1"/>
    <col min="6" max="6" width="20.375" bestFit="1" customWidth="1"/>
    <col min="7" max="7" width="43" customWidth="1"/>
    <col min="8" max="8" width="48.375" customWidth="1"/>
    <col min="9" max="9" width="19.625" customWidth="1"/>
    <col min="10" max="10" width="8.75" bestFit="1" customWidth="1"/>
  </cols>
  <sheetData>
    <row r="1" spans="1:9" ht="26.25">
      <c r="A1" s="6"/>
      <c r="B1" s="7"/>
      <c r="C1" s="7"/>
      <c r="D1" s="7"/>
      <c r="E1" s="8"/>
      <c r="F1" s="8"/>
      <c r="G1" s="8"/>
      <c r="H1" s="6"/>
    </row>
    <row r="2" spans="1:9" ht="28.5" customHeight="1" thickBot="1">
      <c r="A2" s="6"/>
      <c r="B2" s="9" t="s">
        <v>101</v>
      </c>
      <c r="C2" s="6"/>
      <c r="D2" s="6"/>
      <c r="E2" s="10"/>
      <c r="F2" s="10"/>
      <c r="G2" s="11" t="s">
        <v>17</v>
      </c>
      <c r="H2" s="6"/>
    </row>
    <row r="3" spans="1:9" ht="66.75" customHeight="1" thickBot="1">
      <c r="A3" s="6"/>
      <c r="B3" s="390" t="s">
        <v>18</v>
      </c>
      <c r="C3" s="391"/>
      <c r="D3" s="12" t="s">
        <v>19</v>
      </c>
      <c r="E3" s="13" t="s">
        <v>20</v>
      </c>
      <c r="F3" s="13" t="s">
        <v>21</v>
      </c>
      <c r="G3" s="14" t="s">
        <v>22</v>
      </c>
      <c r="H3" s="392" t="s">
        <v>111</v>
      </c>
      <c r="I3" s="359"/>
    </row>
    <row r="4" spans="1:9" ht="15.75" customHeight="1" thickTop="1">
      <c r="A4" s="6"/>
      <c r="B4" s="393" t="s">
        <v>23</v>
      </c>
      <c r="C4" s="15" t="s">
        <v>24</v>
      </c>
      <c r="D4" s="16">
        <v>10578</v>
      </c>
      <c r="E4" s="17"/>
      <c r="F4" s="18"/>
      <c r="G4" s="19" t="s">
        <v>67</v>
      </c>
      <c r="H4" t="s">
        <v>80</v>
      </c>
      <c r="I4" s="155">
        <v>11020</v>
      </c>
    </row>
    <row r="5" spans="1:9" ht="15.75" customHeight="1">
      <c r="A5" s="6"/>
      <c r="B5" s="394"/>
      <c r="C5" s="20" t="s">
        <v>25</v>
      </c>
      <c r="D5" s="153">
        <f>I9</f>
        <v>193</v>
      </c>
      <c r="E5" s="21"/>
      <c r="F5" s="22"/>
      <c r="G5" s="23"/>
      <c r="H5" s="91" t="s">
        <v>81</v>
      </c>
      <c r="I5" s="156">
        <f>84618/8</f>
        <v>10577.25</v>
      </c>
    </row>
    <row r="6" spans="1:9" ht="15.75" customHeight="1">
      <c r="A6" s="6"/>
      <c r="B6" s="394"/>
      <c r="C6" s="20" t="s">
        <v>26</v>
      </c>
      <c r="D6" s="24">
        <f>D4*D5</f>
        <v>2041554</v>
      </c>
      <c r="E6" s="25">
        <f>D6*4</f>
        <v>8166216</v>
      </c>
      <c r="F6" s="26">
        <f>E6*12</f>
        <v>97994592</v>
      </c>
      <c r="G6" s="152">
        <f>(D6+D7)/D5</f>
        <v>11282.663212435233</v>
      </c>
      <c r="H6" s="6" t="s">
        <v>79</v>
      </c>
      <c r="I6" s="157">
        <v>9620</v>
      </c>
    </row>
    <row r="7" spans="1:9" ht="15.75" customHeight="1">
      <c r="A7" s="6"/>
      <c r="B7" s="394"/>
      <c r="C7" s="20" t="s">
        <v>55</v>
      </c>
      <c r="D7" s="29">
        <f>8000*(5+5+4+3)</f>
        <v>136000</v>
      </c>
      <c r="E7" s="25">
        <f>D7*4</f>
        <v>544000</v>
      </c>
      <c r="F7" s="26">
        <f>E7*12</f>
        <v>6528000</v>
      </c>
      <c r="G7" s="28"/>
      <c r="H7" s="6"/>
      <c r="I7" s="102"/>
    </row>
    <row r="8" spans="1:9" ht="15.75" customHeight="1">
      <c r="A8" s="6"/>
      <c r="B8" s="394"/>
      <c r="C8" s="20" t="s">
        <v>152</v>
      </c>
      <c r="D8" s="24">
        <f>G6*I10/28*365/12*0.5</f>
        <v>232872.82553047125</v>
      </c>
      <c r="E8" s="25">
        <f>D8*4</f>
        <v>931491.302121885</v>
      </c>
      <c r="F8" s="26">
        <f>E8*12</f>
        <v>11177895.62546262</v>
      </c>
      <c r="G8" s="28"/>
      <c r="H8" t="s">
        <v>68</v>
      </c>
      <c r="I8" s="158">
        <f>'근무표(평일야간2)'!G24</f>
        <v>177</v>
      </c>
    </row>
    <row r="9" spans="1:9" ht="15.75" customHeight="1">
      <c r="A9" s="6"/>
      <c r="B9" s="394"/>
      <c r="C9" s="20" t="s">
        <v>153</v>
      </c>
      <c r="D9" s="29">
        <f>G6*8/12</f>
        <v>7521.7754749568221</v>
      </c>
      <c r="E9" s="25">
        <f t="shared" ref="E9:E11" si="0">D9*4</f>
        <v>30087.101899827288</v>
      </c>
      <c r="F9" s="26">
        <f t="shared" ref="F9:F22" si="1">E9*12</f>
        <v>361045.22279792745</v>
      </c>
      <c r="G9" s="28"/>
      <c r="H9" t="s">
        <v>70</v>
      </c>
      <c r="I9" s="164">
        <f>ROUNDUP('근무표(평일야간2)'!G25,0)</f>
        <v>193</v>
      </c>
    </row>
    <row r="10" spans="1:9" ht="15.75" customHeight="1">
      <c r="A10" s="6"/>
      <c r="B10" s="394"/>
      <c r="C10" s="20" t="s">
        <v>30</v>
      </c>
      <c r="D10" s="29">
        <f>G6*8*15/12</f>
        <v>112826.63212435233</v>
      </c>
      <c r="E10" s="25">
        <f t="shared" si="0"/>
        <v>451306.52849740931</v>
      </c>
      <c r="F10" s="26">
        <f>E10*12</f>
        <v>5415678.3419689117</v>
      </c>
      <c r="G10" s="28"/>
      <c r="H10" t="s">
        <v>77</v>
      </c>
      <c r="I10" s="158">
        <f>'근무표(평일야간2)'!G26</f>
        <v>38</v>
      </c>
    </row>
    <row r="11" spans="1:9" ht="15.75" customHeight="1" thickBot="1">
      <c r="A11" s="6"/>
      <c r="B11" s="394"/>
      <c r="C11" s="20" t="s">
        <v>154</v>
      </c>
      <c r="D11" s="24">
        <v>0</v>
      </c>
      <c r="E11" s="25">
        <f t="shared" si="0"/>
        <v>0</v>
      </c>
      <c r="F11" s="26">
        <f t="shared" si="1"/>
        <v>0</v>
      </c>
      <c r="G11" s="28"/>
      <c r="H11" t="s">
        <v>78</v>
      </c>
      <c r="I11" s="159">
        <f>'근무표(평일야간2)'!G27</f>
        <v>20.639880952380953</v>
      </c>
    </row>
    <row r="12" spans="1:9" ht="15.75" customHeight="1" thickBot="1">
      <c r="A12" s="6"/>
      <c r="B12" s="394"/>
      <c r="C12" s="35" t="s">
        <v>35</v>
      </c>
      <c r="D12" s="36">
        <f>SUM(D6:D11)</f>
        <v>2530775.2331297803</v>
      </c>
      <c r="E12" s="37">
        <f>SUM(E6:E11)</f>
        <v>10123100.932519121</v>
      </c>
      <c r="F12" s="37">
        <f>E12*12</f>
        <v>121477211.19022945</v>
      </c>
      <c r="G12" s="38"/>
      <c r="H12" s="6"/>
    </row>
    <row r="13" spans="1:9" ht="15.75" customHeight="1" thickBot="1">
      <c r="A13" s="6"/>
      <c r="B13" s="394"/>
      <c r="C13" s="39" t="s">
        <v>36</v>
      </c>
      <c r="D13" s="40">
        <f>D12/12</f>
        <v>210897.93609414835</v>
      </c>
      <c r="E13" s="41">
        <f>D13*4</f>
        <v>843591.74437659339</v>
      </c>
      <c r="F13" s="42">
        <f t="shared" si="1"/>
        <v>10123100.932519121</v>
      </c>
      <c r="G13" s="43" t="s">
        <v>37</v>
      </c>
      <c r="H13" s="6"/>
    </row>
    <row r="14" spans="1:9" ht="15.75" customHeight="1" thickBot="1">
      <c r="A14" s="6"/>
      <c r="B14" s="395"/>
      <c r="C14" s="44" t="s">
        <v>38</v>
      </c>
      <c r="D14" s="45">
        <f>SUM(D12:D13)</f>
        <v>2741673.1692239288</v>
      </c>
      <c r="E14" s="41">
        <f>E12+E13</f>
        <v>10966692.676895715</v>
      </c>
      <c r="F14" s="42">
        <f t="shared" si="1"/>
        <v>131600312.12274858</v>
      </c>
      <c r="G14" s="38"/>
      <c r="H14" s="6"/>
    </row>
    <row r="15" spans="1:9" ht="17.25">
      <c r="A15" s="6"/>
      <c r="B15" s="46"/>
      <c r="C15" s="47" t="s">
        <v>39</v>
      </c>
      <c r="D15" s="48">
        <v>0</v>
      </c>
      <c r="E15" s="25">
        <v>0</v>
      </c>
      <c r="F15" s="26">
        <f t="shared" si="1"/>
        <v>0</v>
      </c>
      <c r="G15" s="49" t="s">
        <v>166</v>
      </c>
      <c r="H15" s="6"/>
    </row>
    <row r="16" spans="1:9" ht="15.75" customHeight="1">
      <c r="A16" s="6"/>
      <c r="B16" s="344" t="s">
        <v>41</v>
      </c>
      <c r="C16" s="50" t="s">
        <v>42</v>
      </c>
      <c r="D16" s="51">
        <f>SUM(D12*I16)</f>
        <v>89715.98201445071</v>
      </c>
      <c r="E16" s="25">
        <f>D16*4</f>
        <v>358863.92805780284</v>
      </c>
      <c r="F16" s="26">
        <f t="shared" si="1"/>
        <v>4306367.1366936341</v>
      </c>
      <c r="G16" s="52" t="s">
        <v>102</v>
      </c>
      <c r="H16" s="101">
        <v>3.5450000000000002E-2</v>
      </c>
      <c r="I16" s="106">
        <v>3.5450000000000002E-2</v>
      </c>
    </row>
    <row r="17" spans="1:9" ht="15.75" customHeight="1">
      <c r="A17" s="6"/>
      <c r="B17" s="344"/>
      <c r="C17" s="50" t="s">
        <v>44</v>
      </c>
      <c r="D17" s="48">
        <f>SUM(D16*I17)</f>
        <v>11492.617296051136</v>
      </c>
      <c r="E17" s="25">
        <f t="shared" ref="E17:E22" si="2">D17*4</f>
        <v>45970.469184204543</v>
      </c>
      <c r="F17" s="26">
        <f t="shared" si="1"/>
        <v>551645.63021045458</v>
      </c>
      <c r="G17" s="53" t="s">
        <v>103</v>
      </c>
      <c r="H17" s="102" t="s">
        <v>104</v>
      </c>
      <c r="I17" s="105">
        <v>0.12809999999999999</v>
      </c>
    </row>
    <row r="18" spans="1:9" ht="15.75" customHeight="1">
      <c r="A18" s="6"/>
      <c r="B18" s="344"/>
      <c r="C18" s="54" t="s">
        <v>46</v>
      </c>
      <c r="D18" s="55">
        <f>SUM(D12*I18)</f>
        <v>29103.915180992473</v>
      </c>
      <c r="E18" s="25">
        <f t="shared" si="2"/>
        <v>116415.66072396989</v>
      </c>
      <c r="F18" s="26">
        <f t="shared" si="1"/>
        <v>1396987.9286876386</v>
      </c>
      <c r="G18" s="52" t="s">
        <v>105</v>
      </c>
      <c r="H18" s="102" t="s">
        <v>106</v>
      </c>
      <c r="I18" s="105">
        <v>1.15E-2</v>
      </c>
    </row>
    <row r="19" spans="1:9" ht="15.75" customHeight="1">
      <c r="A19" s="6"/>
      <c r="B19" s="344"/>
      <c r="C19" s="54" t="s">
        <v>48</v>
      </c>
      <c r="D19" s="55">
        <f>SUM(D12*I19)</f>
        <v>22776.977098168019</v>
      </c>
      <c r="E19" s="25">
        <f t="shared" si="2"/>
        <v>91107.908392672078</v>
      </c>
      <c r="F19" s="26">
        <f t="shared" si="1"/>
        <v>1093294.9007120649</v>
      </c>
      <c r="G19" s="53" t="s">
        <v>107</v>
      </c>
      <c r="H19" s="102" t="s">
        <v>108</v>
      </c>
      <c r="I19" s="104">
        <v>8.9999999999999993E-3</v>
      </c>
    </row>
    <row r="20" spans="1:9" ht="15.75" customHeight="1">
      <c r="A20" s="6"/>
      <c r="B20" s="344"/>
      <c r="C20" s="56" t="s">
        <v>50</v>
      </c>
      <c r="D20" s="57">
        <f>SUM(D12*I20)</f>
        <v>1518.4651398778681</v>
      </c>
      <c r="E20" s="25">
        <f t="shared" si="2"/>
        <v>6073.8605595114723</v>
      </c>
      <c r="F20" s="26">
        <f t="shared" si="1"/>
        <v>72886.326714137671</v>
      </c>
      <c r="G20" s="52" t="s">
        <v>109</v>
      </c>
      <c r="H20" s="103">
        <v>5.9999999999999995E-4</v>
      </c>
      <c r="I20" s="105">
        <v>5.9999999999999995E-4</v>
      </c>
    </row>
    <row r="21" spans="1:9" ht="15.75" customHeight="1">
      <c r="A21" s="6"/>
      <c r="B21" s="344"/>
      <c r="C21" s="56" t="s">
        <v>52</v>
      </c>
      <c r="D21" s="57">
        <v>20000</v>
      </c>
      <c r="E21" s="25">
        <f t="shared" si="2"/>
        <v>80000</v>
      </c>
      <c r="F21" s="26">
        <f t="shared" si="1"/>
        <v>960000</v>
      </c>
      <c r="G21" s="58" t="s">
        <v>53</v>
      </c>
      <c r="H21" s="6"/>
    </row>
    <row r="22" spans="1:9" ht="15.75" customHeight="1">
      <c r="A22" s="6"/>
      <c r="B22" s="344"/>
      <c r="C22" s="56" t="s">
        <v>54</v>
      </c>
      <c r="D22" s="57">
        <f>158400/12</f>
        <v>13200</v>
      </c>
      <c r="E22" s="25">
        <f t="shared" si="2"/>
        <v>52800</v>
      </c>
      <c r="F22" s="26">
        <f t="shared" si="1"/>
        <v>633600</v>
      </c>
      <c r="G22" s="58"/>
      <c r="H22" s="6"/>
    </row>
    <row r="23" spans="1:9" ht="15.75" customHeight="1" thickBot="1">
      <c r="A23" s="6"/>
      <c r="B23" s="344"/>
      <c r="C23" s="62" t="s">
        <v>57</v>
      </c>
      <c r="D23" s="63">
        <f>SUM(D15:D22)</f>
        <v>187807.95672954019</v>
      </c>
      <c r="E23" s="25">
        <f>SUM(E15:E22)</f>
        <v>751231.82691816078</v>
      </c>
      <c r="F23" s="64">
        <f>SUM(F15:F22)</f>
        <v>9014781.9230179302</v>
      </c>
      <c r="G23" s="65"/>
      <c r="H23" s="6"/>
    </row>
    <row r="24" spans="1:9" ht="15.75" customHeight="1" thickBot="1">
      <c r="A24" s="6"/>
      <c r="B24" s="396" t="s">
        <v>58</v>
      </c>
      <c r="C24" s="397"/>
      <c r="D24" s="45"/>
      <c r="E24" s="41"/>
      <c r="F24" s="42">
        <f>F14+F23</f>
        <v>140615094.0457665</v>
      </c>
      <c r="G24" s="66"/>
      <c r="H24" s="6"/>
    </row>
    <row r="25" spans="1:9" ht="15.75" customHeight="1" thickBot="1">
      <c r="A25" s="6"/>
      <c r="B25" s="388" t="s">
        <v>59</v>
      </c>
      <c r="C25" s="389"/>
      <c r="D25" s="67"/>
      <c r="E25" s="41"/>
      <c r="F25" s="42">
        <f>F24*I25</f>
        <v>0</v>
      </c>
      <c r="G25" s="66" t="s">
        <v>158</v>
      </c>
      <c r="H25" s="6"/>
      <c r="I25" s="154">
        <v>0</v>
      </c>
    </row>
    <row r="26" spans="1:9" ht="15.75" customHeight="1" thickBot="1">
      <c r="A26" s="6"/>
      <c r="B26" s="379" t="s">
        <v>61</v>
      </c>
      <c r="C26" s="380"/>
      <c r="D26" s="68"/>
      <c r="E26" s="69"/>
      <c r="F26" s="42">
        <f>(F24+F25)*I26</f>
        <v>0</v>
      </c>
      <c r="G26" s="70" t="s">
        <v>159</v>
      </c>
      <c r="H26" s="6"/>
      <c r="I26" s="154">
        <v>0</v>
      </c>
    </row>
    <row r="27" spans="1:9" ht="21" thickBot="1">
      <c r="A27" s="6"/>
      <c r="B27" s="381" t="s">
        <v>63</v>
      </c>
      <c r="C27" s="382"/>
      <c r="D27" s="71"/>
      <c r="E27" s="72"/>
      <c r="F27" s="73">
        <f>SUM(F24:F26)</f>
        <v>140615094.0457665</v>
      </c>
      <c r="G27" s="74"/>
      <c r="H27" s="6"/>
    </row>
    <row r="28" spans="1:9" ht="21" thickBot="1">
      <c r="A28" s="6"/>
      <c r="B28" s="383" t="s">
        <v>64</v>
      </c>
      <c r="C28" s="384"/>
      <c r="D28" s="75"/>
      <c r="E28" s="76"/>
      <c r="F28" s="72">
        <f>F27*10%</f>
        <v>14061509.404576652</v>
      </c>
      <c r="G28" s="77"/>
      <c r="H28" s="6"/>
    </row>
    <row r="29" spans="1:9" ht="26.25">
      <c r="A29" s="78"/>
      <c r="B29" s="79"/>
      <c r="C29" s="80"/>
      <c r="D29" s="385" t="s">
        <v>65</v>
      </c>
      <c r="E29" s="385"/>
      <c r="F29" s="385"/>
      <c r="G29" s="81">
        <f>F27</f>
        <v>140615094.0457665</v>
      </c>
      <c r="H29" s="78"/>
    </row>
    <row r="30" spans="1:9" ht="27" thickBot="1">
      <c r="A30" s="78"/>
      <c r="B30" s="386" t="s">
        <v>66</v>
      </c>
      <c r="C30" s="387"/>
      <c r="D30" s="387"/>
      <c r="E30" s="387"/>
      <c r="F30" s="387"/>
      <c r="G30" s="82">
        <f>F27+F28</f>
        <v>154676603.45034316</v>
      </c>
      <c r="H30" s="78"/>
    </row>
    <row r="31" spans="1:9">
      <c r="A31" s="6"/>
      <c r="B31" s="83"/>
      <c r="C31" s="83"/>
      <c r="D31" s="83"/>
      <c r="E31" s="84"/>
      <c r="F31" s="85"/>
      <c r="G31" s="85"/>
      <c r="H31" s="6"/>
    </row>
    <row r="32" spans="1:9" ht="20.25">
      <c r="A32" s="6"/>
      <c r="B32" s="86"/>
      <c r="C32" s="86"/>
      <c r="D32" s="86"/>
      <c r="E32" s="86"/>
      <c r="F32" s="86"/>
      <c r="G32" s="87"/>
      <c r="H32" s="6"/>
    </row>
  </sheetData>
  <mergeCells count="11">
    <mergeCell ref="B25:C25"/>
    <mergeCell ref="B3:C3"/>
    <mergeCell ref="H3:I3"/>
    <mergeCell ref="B4:B14"/>
    <mergeCell ref="B16:B23"/>
    <mergeCell ref="B24:C24"/>
    <mergeCell ref="B26:C26"/>
    <mergeCell ref="B27:C27"/>
    <mergeCell ref="B28:C28"/>
    <mergeCell ref="D29:F29"/>
    <mergeCell ref="B30:F30"/>
  </mergeCells>
  <phoneticPr fontId="2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40"/>
  <sheetViews>
    <sheetView view="pageBreakPreview" topLeftCell="A4" zoomScale="85" zoomScaleNormal="85" zoomScaleSheetLayoutView="85" workbookViewId="0">
      <selection activeCell="A5" sqref="A5"/>
    </sheetView>
  </sheetViews>
  <sheetFormatPr defaultRowHeight="16.5"/>
  <cols>
    <col min="1" max="1" width="1.5" customWidth="1"/>
    <col min="2" max="2" width="13.875" customWidth="1"/>
    <col min="3" max="3" width="30.5" customWidth="1"/>
    <col min="4" max="5" width="29.5" customWidth="1"/>
    <col min="6" max="6" width="28.25" customWidth="1"/>
    <col min="7" max="7" width="28.375" style="110" customWidth="1"/>
    <col min="8" max="16" width="9" style="110"/>
  </cols>
  <sheetData>
    <row r="2" spans="2:17" ht="26.25">
      <c r="B2" s="99" t="s">
        <v>100</v>
      </c>
    </row>
    <row r="3" spans="2:17" ht="17.25" thickBot="1"/>
    <row r="4" spans="2:17">
      <c r="B4" s="436" t="s">
        <v>82</v>
      </c>
      <c r="C4" s="113" t="s">
        <v>87</v>
      </c>
      <c r="D4" s="438" t="s">
        <v>83</v>
      </c>
      <c r="E4" s="439"/>
    </row>
    <row r="5" spans="2:17" ht="17.25" thickBot="1">
      <c r="B5" s="437"/>
      <c r="C5" s="126" t="s">
        <v>86</v>
      </c>
      <c r="D5" s="126" t="s">
        <v>84</v>
      </c>
      <c r="E5" s="127" t="s">
        <v>85</v>
      </c>
      <c r="F5" s="100" t="s">
        <v>144</v>
      </c>
      <c r="G5" s="100"/>
    </row>
    <row r="6" spans="2:17" ht="29.25" customHeight="1" thickTop="1">
      <c r="B6" s="440" t="s">
        <v>88</v>
      </c>
      <c r="C6" s="125" t="s">
        <v>93</v>
      </c>
      <c r="D6" s="441" t="s">
        <v>98</v>
      </c>
      <c r="E6" s="442" t="s">
        <v>98</v>
      </c>
      <c r="F6" s="434" t="s">
        <v>145</v>
      </c>
      <c r="G6" s="100" t="s">
        <v>164</v>
      </c>
      <c r="H6" s="100"/>
    </row>
    <row r="7" spans="2:17" ht="29.25" customHeight="1">
      <c r="B7" s="427"/>
      <c r="C7" s="97" t="s">
        <v>92</v>
      </c>
      <c r="D7" s="429"/>
      <c r="E7" s="435"/>
      <c r="F7" s="434"/>
      <c r="G7" s="100" t="s">
        <v>165</v>
      </c>
      <c r="H7" s="100"/>
    </row>
    <row r="8" spans="2:17" ht="29.25" customHeight="1">
      <c r="B8" s="426" t="s">
        <v>89</v>
      </c>
      <c r="C8" s="94" t="s">
        <v>94</v>
      </c>
      <c r="D8" s="96" t="s">
        <v>99</v>
      </c>
      <c r="E8" s="432" t="s">
        <v>98</v>
      </c>
      <c r="F8" s="434"/>
      <c r="G8" s="167" t="s">
        <v>175</v>
      </c>
      <c r="H8" s="100"/>
    </row>
    <row r="9" spans="2:17" ht="29.25" customHeight="1">
      <c r="B9" s="427"/>
      <c r="C9" s="97" t="s">
        <v>95</v>
      </c>
      <c r="D9" s="98" t="s">
        <v>155</v>
      </c>
      <c r="E9" s="435"/>
      <c r="F9" s="100" t="s">
        <v>146</v>
      </c>
      <c r="G9" s="111"/>
    </row>
    <row r="10" spans="2:17" ht="29.25" customHeight="1">
      <c r="B10" s="426" t="s">
        <v>91</v>
      </c>
      <c r="C10" s="94" t="s">
        <v>96</v>
      </c>
      <c r="D10" s="428" t="s">
        <v>98</v>
      </c>
      <c r="E10" s="116" t="s">
        <v>99</v>
      </c>
      <c r="F10" s="5" t="s">
        <v>147</v>
      </c>
      <c r="G10" s="107"/>
    </row>
    <row r="11" spans="2:17" ht="29.25" customHeight="1">
      <c r="B11" s="427"/>
      <c r="C11" s="97" t="s">
        <v>95</v>
      </c>
      <c r="D11" s="429"/>
      <c r="E11" s="117" t="s">
        <v>155</v>
      </c>
      <c r="F11" s="5" t="s">
        <v>148</v>
      </c>
      <c r="G11" s="107"/>
    </row>
    <row r="12" spans="2:17" ht="29.25" customHeight="1">
      <c r="B12" s="426" t="s">
        <v>90</v>
      </c>
      <c r="C12" s="94" t="s">
        <v>97</v>
      </c>
      <c r="D12" s="428" t="s">
        <v>98</v>
      </c>
      <c r="E12" s="432" t="s">
        <v>98</v>
      </c>
    </row>
    <row r="13" spans="2:17" ht="29.25" customHeight="1" thickBot="1">
      <c r="B13" s="430"/>
      <c r="C13" s="166" t="s">
        <v>110</v>
      </c>
      <c r="D13" s="431"/>
      <c r="E13" s="433"/>
    </row>
    <row r="14" spans="2:17" ht="17.25" thickBot="1">
      <c r="B14" s="1"/>
      <c r="C14" s="1"/>
      <c r="D14" s="1"/>
      <c r="E14" s="1"/>
    </row>
    <row r="15" spans="2:17" ht="17.25" thickBot="1">
      <c r="B15" s="130" t="s">
        <v>142</v>
      </c>
      <c r="C15" s="131" t="s">
        <v>160</v>
      </c>
      <c r="D15" s="131" t="s">
        <v>143</v>
      </c>
      <c r="E15" s="131" t="s">
        <v>143</v>
      </c>
      <c r="F15" s="163" t="s">
        <v>161</v>
      </c>
      <c r="G15" s="132" t="s">
        <v>143</v>
      </c>
      <c r="Q15" s="110"/>
    </row>
    <row r="16" spans="2:17" ht="12.95" customHeight="1" thickTop="1">
      <c r="B16" s="128" t="s">
        <v>112</v>
      </c>
      <c r="C16" s="422" t="s">
        <v>139</v>
      </c>
      <c r="D16" s="411" t="s">
        <v>149</v>
      </c>
      <c r="E16" s="151"/>
      <c r="F16" s="404" t="s">
        <v>162</v>
      </c>
      <c r="G16" s="406" t="s">
        <v>156</v>
      </c>
      <c r="Q16" s="110"/>
    </row>
    <row r="17" spans="2:17" ht="12.95" customHeight="1">
      <c r="B17" s="120" t="s">
        <v>113</v>
      </c>
      <c r="C17" s="416"/>
      <c r="D17" s="423"/>
      <c r="E17" s="409" t="s">
        <v>150</v>
      </c>
      <c r="F17" s="405"/>
      <c r="G17" s="407"/>
      <c r="Q17" s="110"/>
    </row>
    <row r="18" spans="2:17" ht="12.95" customHeight="1">
      <c r="B18" s="120" t="s">
        <v>114</v>
      </c>
      <c r="C18" s="416"/>
      <c r="D18" s="423"/>
      <c r="E18" s="410"/>
      <c r="F18" s="405"/>
      <c r="G18" s="407"/>
      <c r="Q18" s="110"/>
    </row>
    <row r="19" spans="2:17" ht="12.95" customHeight="1">
      <c r="B19" s="121" t="s">
        <v>115</v>
      </c>
      <c r="C19" s="416"/>
      <c r="D19" s="423"/>
      <c r="E19" s="410"/>
      <c r="F19" s="405"/>
      <c r="G19" s="407"/>
      <c r="Q19" s="110"/>
    </row>
    <row r="20" spans="2:17" ht="12.95" customHeight="1">
      <c r="B20" s="120" t="s">
        <v>116</v>
      </c>
      <c r="C20" s="416"/>
      <c r="D20" s="423"/>
      <c r="E20" s="410"/>
      <c r="F20" s="405"/>
      <c r="G20" s="407"/>
      <c r="Q20" s="110"/>
    </row>
    <row r="21" spans="2:17" ht="12.75" customHeight="1">
      <c r="B21" s="122" t="s">
        <v>117</v>
      </c>
      <c r="C21" s="417"/>
      <c r="D21" s="423"/>
      <c r="E21" s="410"/>
      <c r="F21" s="412" t="s">
        <v>163</v>
      </c>
      <c r="G21" s="407"/>
      <c r="Q21" s="110"/>
    </row>
    <row r="22" spans="2:17" ht="12.95" customHeight="1">
      <c r="B22" s="119" t="s">
        <v>118</v>
      </c>
      <c r="C22" s="414" t="s">
        <v>137</v>
      </c>
      <c r="D22" s="423"/>
      <c r="E22" s="410"/>
      <c r="F22" s="365"/>
      <c r="G22" s="407"/>
      <c r="Q22" s="110"/>
    </row>
    <row r="23" spans="2:17" ht="12.75" customHeight="1">
      <c r="B23" s="122" t="s">
        <v>119</v>
      </c>
      <c r="C23" s="415"/>
      <c r="D23" s="409" t="s">
        <v>151</v>
      </c>
      <c r="E23" s="410"/>
      <c r="F23" s="413"/>
      <c r="G23" s="407"/>
      <c r="Q23" s="110"/>
    </row>
    <row r="24" spans="2:17" ht="12.95" customHeight="1">
      <c r="B24" s="119" t="s">
        <v>120</v>
      </c>
      <c r="C24" s="398" t="s">
        <v>139</v>
      </c>
      <c r="D24" s="410"/>
      <c r="E24" s="410"/>
      <c r="F24" s="418" t="s">
        <v>162</v>
      </c>
      <c r="G24" s="407"/>
      <c r="Q24" s="110"/>
    </row>
    <row r="25" spans="2:17" ht="12.95" customHeight="1">
      <c r="B25" s="120" t="s">
        <v>121</v>
      </c>
      <c r="C25" s="416"/>
      <c r="D25" s="410"/>
      <c r="E25" s="410"/>
      <c r="F25" s="405"/>
      <c r="G25" s="407"/>
      <c r="Q25" s="110"/>
    </row>
    <row r="26" spans="2:17" ht="12.95" customHeight="1">
      <c r="B26" s="121" t="s">
        <v>122</v>
      </c>
      <c r="C26" s="416"/>
      <c r="D26" s="410"/>
      <c r="E26" s="410"/>
      <c r="F26" s="405"/>
      <c r="G26" s="407"/>
      <c r="Q26" s="110"/>
    </row>
    <row r="27" spans="2:17" ht="12.95" customHeight="1">
      <c r="B27" s="120" t="s">
        <v>123</v>
      </c>
      <c r="C27" s="416"/>
      <c r="D27" s="410"/>
      <c r="E27" s="411"/>
      <c r="F27" s="405"/>
      <c r="G27" s="407"/>
      <c r="Q27" s="110"/>
    </row>
    <row r="28" spans="2:17" ht="12.95" customHeight="1">
      <c r="B28" s="120" t="s">
        <v>124</v>
      </c>
      <c r="C28" s="416"/>
      <c r="D28" s="410"/>
      <c r="E28" s="419"/>
      <c r="F28" s="405"/>
      <c r="G28" s="407"/>
      <c r="Q28" s="110"/>
    </row>
    <row r="29" spans="2:17" ht="12.95" customHeight="1">
      <c r="B29" s="122" t="s">
        <v>125</v>
      </c>
      <c r="C29" s="417"/>
      <c r="D29" s="411"/>
      <c r="E29" s="420"/>
      <c r="F29" s="412" t="s">
        <v>163</v>
      </c>
      <c r="G29" s="407"/>
      <c r="Q29" s="110"/>
    </row>
    <row r="30" spans="2:17" ht="12.95" customHeight="1">
      <c r="B30" s="123" t="s">
        <v>126</v>
      </c>
      <c r="C30" s="129" t="s">
        <v>137</v>
      </c>
      <c r="D30" s="409" t="s">
        <v>174</v>
      </c>
      <c r="E30" s="420"/>
      <c r="F30" s="413"/>
      <c r="G30" s="407"/>
      <c r="Q30" s="110"/>
    </row>
    <row r="31" spans="2:17" ht="12.95" customHeight="1">
      <c r="B31" s="119" t="s">
        <v>127</v>
      </c>
      <c r="C31" s="398" t="s">
        <v>140</v>
      </c>
      <c r="D31" s="410"/>
      <c r="E31" s="420"/>
      <c r="F31" s="398" t="s">
        <v>140</v>
      </c>
      <c r="G31" s="407"/>
      <c r="Q31" s="110"/>
    </row>
    <row r="32" spans="2:17" ht="12.75" customHeight="1">
      <c r="B32" s="120" t="s">
        <v>128</v>
      </c>
      <c r="C32" s="416"/>
      <c r="D32" s="410"/>
      <c r="E32" s="420"/>
      <c r="F32" s="416"/>
      <c r="G32" s="407"/>
      <c r="Q32" s="110"/>
    </row>
    <row r="33" spans="2:17" ht="12.95" customHeight="1">
      <c r="B33" s="120" t="s">
        <v>129</v>
      </c>
      <c r="C33" s="416"/>
      <c r="D33" s="410"/>
      <c r="E33" s="420"/>
      <c r="F33" s="416"/>
      <c r="G33" s="407"/>
      <c r="Q33" s="110"/>
    </row>
    <row r="34" spans="2:17" ht="12.95" customHeight="1">
      <c r="B34" s="122" t="s">
        <v>130</v>
      </c>
      <c r="C34" s="417"/>
      <c r="D34" s="410"/>
      <c r="E34" s="420"/>
      <c r="F34" s="417"/>
      <c r="G34" s="407"/>
      <c r="Q34" s="110"/>
    </row>
    <row r="35" spans="2:17" ht="12.95" customHeight="1">
      <c r="B35" s="119" t="s">
        <v>131</v>
      </c>
      <c r="C35" s="443" t="s">
        <v>138</v>
      </c>
      <c r="D35" s="410"/>
      <c r="E35" s="420"/>
      <c r="F35" s="414" t="s">
        <v>138</v>
      </c>
      <c r="G35" s="407"/>
      <c r="Q35" s="110"/>
    </row>
    <row r="36" spans="2:17" ht="12.95" customHeight="1">
      <c r="B36" s="120" t="s">
        <v>132</v>
      </c>
      <c r="C36" s="444"/>
      <c r="D36" s="410"/>
      <c r="E36" s="420"/>
      <c r="F36" s="425"/>
      <c r="G36" s="407"/>
      <c r="Q36" s="110"/>
    </row>
    <row r="37" spans="2:17" ht="12.95" customHeight="1">
      <c r="B37" s="120" t="s">
        <v>133</v>
      </c>
      <c r="C37" s="444"/>
      <c r="D37" s="410"/>
      <c r="E37" s="420"/>
      <c r="F37" s="425"/>
      <c r="G37" s="407"/>
      <c r="Q37" s="110"/>
    </row>
    <row r="38" spans="2:17" ht="12.95" customHeight="1">
      <c r="B38" s="122" t="s">
        <v>134</v>
      </c>
      <c r="C38" s="445"/>
      <c r="D38" s="410"/>
      <c r="E38" s="420"/>
      <c r="F38" s="415"/>
      <c r="G38" s="407"/>
      <c r="Q38" s="110"/>
    </row>
    <row r="39" spans="2:17" ht="12.95" customHeight="1">
      <c r="B39" s="119" t="s">
        <v>135</v>
      </c>
      <c r="C39" s="446" t="s">
        <v>141</v>
      </c>
      <c r="D39" s="410"/>
      <c r="E39" s="420"/>
      <c r="F39" s="398" t="s">
        <v>141</v>
      </c>
      <c r="G39" s="407"/>
      <c r="Q39" s="110"/>
    </row>
    <row r="40" spans="2:17" ht="12.95" customHeight="1" thickBot="1">
      <c r="B40" s="124" t="s">
        <v>136</v>
      </c>
      <c r="C40" s="447"/>
      <c r="D40" s="424"/>
      <c r="E40" s="421"/>
      <c r="F40" s="399"/>
      <c r="G40" s="408"/>
      <c r="Q40" s="110"/>
    </row>
  </sheetData>
  <mergeCells count="32">
    <mergeCell ref="G16:G40"/>
    <mergeCell ref="F6:F8"/>
    <mergeCell ref="B12:B13"/>
    <mergeCell ref="D12:D13"/>
    <mergeCell ref="E12:E13"/>
    <mergeCell ref="C31:C34"/>
    <mergeCell ref="C35:C38"/>
    <mergeCell ref="C39:C40"/>
    <mergeCell ref="D16:D22"/>
    <mergeCell ref="C16:C21"/>
    <mergeCell ref="C22:C23"/>
    <mergeCell ref="C24:C29"/>
    <mergeCell ref="D23:D29"/>
    <mergeCell ref="E17:E27"/>
    <mergeCell ref="E28:E40"/>
    <mergeCell ref="D30:D40"/>
    <mergeCell ref="B4:B5"/>
    <mergeCell ref="D6:D7"/>
    <mergeCell ref="E6:E7"/>
    <mergeCell ref="E8:E9"/>
    <mergeCell ref="D10:D11"/>
    <mergeCell ref="D4:E4"/>
    <mergeCell ref="B6:B7"/>
    <mergeCell ref="B8:B9"/>
    <mergeCell ref="B10:B11"/>
    <mergeCell ref="F39:F40"/>
    <mergeCell ref="F16:F20"/>
    <mergeCell ref="F21:F23"/>
    <mergeCell ref="F24:F28"/>
    <mergeCell ref="F29:F30"/>
    <mergeCell ref="F31:F34"/>
    <mergeCell ref="F35:F38"/>
  </mergeCells>
  <phoneticPr fontId="2" type="noConversion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8</vt:i4>
      </vt:variant>
    </vt:vector>
  </HeadingPairs>
  <TitlesOfParts>
    <vt:vector size="22" baseType="lpstr">
      <vt:lpstr>산출내역서(야간맞교대)</vt:lpstr>
      <vt:lpstr>산출내역서(야간맞교대)(1일)</vt:lpstr>
      <vt:lpstr>근무형태 및 근무시간(야)</vt:lpstr>
      <vt:lpstr>근무표(평일야간1)</vt:lpstr>
      <vt:lpstr>산출내역서(평일야간1)</vt:lpstr>
      <vt:lpstr>근무형태 및 근무시간(평일야간2)</vt:lpstr>
      <vt:lpstr>근무표(평일야간2)</vt:lpstr>
      <vt:lpstr>산출내역서(평일야간2)</vt:lpstr>
      <vt:lpstr>근무형태 및 근무시간(평일야간4)</vt:lpstr>
      <vt:lpstr>근무표(평일야간4)</vt:lpstr>
      <vt:lpstr>산출내역서(평일야간4)</vt:lpstr>
      <vt:lpstr>근무표(시간표상)</vt:lpstr>
      <vt:lpstr>산출내역서(시간표상)</vt:lpstr>
      <vt:lpstr>직종별 조사노임단가</vt:lpstr>
      <vt:lpstr>'근무표(평일야간1)'!Print_Area</vt:lpstr>
      <vt:lpstr>'근무표(평일야간2)'!Print_Area</vt:lpstr>
      <vt:lpstr>'근무표(평일야간4)'!Print_Area</vt:lpstr>
      <vt:lpstr>'근무형태 및 근무시간(야)'!Print_Area</vt:lpstr>
      <vt:lpstr>'근무형태 및 근무시간(평일야간2)'!Print_Area</vt:lpstr>
      <vt:lpstr>'근무형태 및 근무시간(평일야간4)'!Print_Area</vt:lpstr>
      <vt:lpstr>'산출내역서(야간맞교대)'!Print_Area</vt:lpstr>
      <vt:lpstr>'산출내역서(야간맞교대)(1일)'!Print_Area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yang</cp:lastModifiedBy>
  <cp:lastPrinted>2023-04-25T06:10:25Z</cp:lastPrinted>
  <dcterms:created xsi:type="dcterms:W3CDTF">2023-01-16T06:49:17Z</dcterms:created>
  <dcterms:modified xsi:type="dcterms:W3CDTF">2023-05-15T00:54:25Z</dcterms:modified>
</cp:coreProperties>
</file>